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925"/>
  </bookViews>
  <sheets>
    <sheet name="Turnaus" sheetId="2" r:id="rId1"/>
    <sheet name="Perjantai" sheetId="3" r:id="rId2"/>
    <sheet name="Lauantai" sheetId="5" r:id="rId3"/>
    <sheet name="Sunnuntai" sheetId="6" r:id="rId4"/>
    <sheet name="Pisteytys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H21" i="3"/>
  <c r="F32" i="2"/>
  <c r="H70" i="5"/>
  <c r="H71" i="5"/>
  <c r="H68" i="5"/>
  <c r="H67" i="5"/>
  <c r="H66" i="5"/>
  <c r="H63" i="5"/>
  <c r="H62" i="5"/>
  <c r="H61" i="5"/>
  <c r="H58" i="5"/>
  <c r="H56" i="5"/>
  <c r="H57" i="5"/>
  <c r="H29" i="5"/>
  <c r="H55" i="5"/>
  <c r="H53" i="5"/>
  <c r="H52" i="5"/>
  <c r="H51" i="5"/>
  <c r="H50" i="5"/>
  <c r="H49" i="5"/>
  <c r="H41" i="5"/>
  <c r="H40" i="5"/>
  <c r="H39" i="5"/>
  <c r="H38" i="5"/>
  <c r="H37" i="5"/>
  <c r="H35" i="5"/>
  <c r="H34" i="5"/>
  <c r="H33" i="5"/>
  <c r="H30" i="5"/>
  <c r="H28" i="5"/>
  <c r="H27" i="5"/>
  <c r="H25" i="5"/>
  <c r="H24" i="5"/>
  <c r="H23" i="5"/>
  <c r="H22" i="5"/>
  <c r="H20" i="5"/>
  <c r="H19" i="5"/>
  <c r="H18" i="5"/>
  <c r="H17" i="5"/>
  <c r="H16" i="5"/>
  <c r="H15" i="5"/>
  <c r="H14" i="5"/>
  <c r="H6" i="5"/>
  <c r="H5" i="5"/>
  <c r="H4" i="5"/>
  <c r="H3" i="5"/>
  <c r="H23" i="3"/>
  <c r="H20" i="3"/>
  <c r="H18" i="3"/>
  <c r="H17" i="3"/>
  <c r="H16" i="3"/>
  <c r="H15" i="3"/>
  <c r="H13" i="3"/>
  <c r="H12" i="3"/>
  <c r="H11" i="3"/>
  <c r="H10" i="3"/>
  <c r="H9" i="3"/>
  <c r="H7" i="3"/>
  <c r="H6" i="3"/>
  <c r="H5" i="3"/>
  <c r="H4" i="3"/>
  <c r="H3" i="3"/>
  <c r="F33" i="2" l="1"/>
  <c r="H32" i="2" l="1"/>
  <c r="H29" i="2"/>
  <c r="H28" i="2"/>
  <c r="H17" i="2"/>
  <c r="O34" i="2"/>
  <c r="O25" i="2"/>
  <c r="O33" i="2"/>
  <c r="O32" i="2"/>
  <c r="O31" i="2"/>
  <c r="O30" i="2"/>
  <c r="O29" i="2"/>
  <c r="O28" i="2"/>
  <c r="O27" i="2"/>
  <c r="O26" i="2"/>
  <c r="I25" i="2"/>
  <c r="O23" i="2"/>
  <c r="O14" i="2"/>
  <c r="O22" i="2"/>
  <c r="O21" i="2"/>
  <c r="O20" i="2"/>
  <c r="O19" i="2"/>
  <c r="O18" i="2"/>
  <c r="O17" i="2"/>
  <c r="O16" i="2"/>
  <c r="O15" i="2"/>
  <c r="I14" i="2"/>
  <c r="O12" i="2"/>
  <c r="O3" i="2"/>
  <c r="O11" i="2"/>
  <c r="O5" i="2"/>
  <c r="O4" i="2"/>
  <c r="I3" i="2"/>
  <c r="A13" i="6"/>
  <c r="A75" i="5"/>
  <c r="A25" i="3"/>
  <c r="Q21" i="2"/>
  <c r="I21" i="2"/>
  <c r="H21" i="2"/>
  <c r="G21" i="2"/>
  <c r="J21" i="2" l="1"/>
  <c r="P21" i="2"/>
  <c r="Q5" i="2"/>
  <c r="I5" i="2"/>
  <c r="H5" i="2"/>
  <c r="G5" i="2"/>
  <c r="E9" i="2"/>
  <c r="P5" i="2" l="1"/>
  <c r="J5" i="2"/>
  <c r="J13" i="4"/>
  <c r="J12" i="4"/>
  <c r="J11" i="4"/>
  <c r="J10" i="4"/>
  <c r="J9" i="4"/>
  <c r="J8" i="4"/>
  <c r="J7" i="4"/>
  <c r="J6" i="4"/>
  <c r="J5" i="4"/>
  <c r="J4" i="4"/>
  <c r="I12" i="4"/>
  <c r="I11" i="4"/>
  <c r="I10" i="4"/>
  <c r="I9" i="4"/>
  <c r="I8" i="4"/>
  <c r="I7" i="4"/>
  <c r="I6" i="4"/>
  <c r="I5" i="4"/>
  <c r="I4" i="4"/>
  <c r="I14" i="4" s="1"/>
  <c r="H11" i="4"/>
  <c r="H10" i="4"/>
  <c r="H9" i="4"/>
  <c r="H8" i="4"/>
  <c r="H7" i="4"/>
  <c r="H14" i="4" s="1"/>
  <c r="H6" i="4"/>
  <c r="H5" i="4"/>
  <c r="H4" i="4"/>
  <c r="J14" i="4" l="1"/>
  <c r="D7" i="4"/>
  <c r="Q34" i="2"/>
  <c r="Q33" i="2"/>
  <c r="Q32" i="2"/>
  <c r="Q31" i="2"/>
  <c r="Q30" i="2"/>
  <c r="Q29" i="2"/>
  <c r="Q28" i="2"/>
  <c r="Q27" i="2"/>
  <c r="Q26" i="2"/>
  <c r="Q25" i="2"/>
  <c r="Q23" i="2"/>
  <c r="Q22" i="2"/>
  <c r="Q20" i="2"/>
  <c r="Q19" i="2"/>
  <c r="Q18" i="2"/>
  <c r="Q17" i="2"/>
  <c r="Q16" i="2"/>
  <c r="Q15" i="2"/>
  <c r="Q14" i="2"/>
  <c r="Q12" i="2"/>
  <c r="Q11" i="2"/>
  <c r="Q4" i="2"/>
  <c r="Q3" i="2"/>
  <c r="I34" i="2"/>
  <c r="I33" i="2"/>
  <c r="I32" i="2"/>
  <c r="I31" i="2"/>
  <c r="I30" i="2"/>
  <c r="I29" i="2"/>
  <c r="I28" i="2"/>
  <c r="I27" i="2"/>
  <c r="I26" i="2"/>
  <c r="I23" i="2"/>
  <c r="I22" i="2"/>
  <c r="I20" i="2"/>
  <c r="I19" i="2"/>
  <c r="I18" i="2"/>
  <c r="I17" i="2"/>
  <c r="I16" i="2"/>
  <c r="I15" i="2"/>
  <c r="I12" i="2"/>
  <c r="I11" i="2"/>
  <c r="I4" i="2"/>
  <c r="G3" i="2"/>
  <c r="H34" i="2"/>
  <c r="H27" i="2"/>
  <c r="H25" i="2"/>
  <c r="G25" i="2"/>
  <c r="G34" i="2"/>
  <c r="G33" i="2"/>
  <c r="G32" i="2"/>
  <c r="G31" i="2"/>
  <c r="G30" i="2"/>
  <c r="G29" i="2"/>
  <c r="G28" i="2"/>
  <c r="G27" i="2"/>
  <c r="G26" i="2"/>
  <c r="H23" i="2"/>
  <c r="H22" i="2"/>
  <c r="H20" i="2"/>
  <c r="H19" i="2"/>
  <c r="H18" i="2"/>
  <c r="H16" i="2"/>
  <c r="H15" i="2"/>
  <c r="H12" i="2"/>
  <c r="H11" i="2"/>
  <c r="H4" i="2"/>
  <c r="H14" i="2"/>
  <c r="G23" i="2"/>
  <c r="G22" i="2"/>
  <c r="G20" i="2"/>
  <c r="G19" i="2"/>
  <c r="G18" i="2"/>
  <c r="G17" i="2"/>
  <c r="G16" i="2"/>
  <c r="G15" i="2"/>
  <c r="G14" i="2"/>
  <c r="G12" i="2"/>
  <c r="H3" i="2"/>
  <c r="G11" i="2"/>
  <c r="G4" i="2"/>
  <c r="E8" i="2"/>
  <c r="E7" i="2"/>
  <c r="E6" i="2"/>
  <c r="J4" i="2" l="1"/>
  <c r="H73" i="5"/>
  <c r="P22" i="2"/>
  <c r="P19" i="2"/>
  <c r="P15" i="2"/>
  <c r="P12" i="2"/>
  <c r="P11" i="2"/>
  <c r="P4" i="2"/>
  <c r="P3" i="2"/>
  <c r="J12" i="2"/>
  <c r="J11" i="2"/>
  <c r="P16" i="2"/>
  <c r="P23" i="2"/>
  <c r="P17" i="2"/>
  <c r="P14" i="2"/>
  <c r="P18" i="2"/>
  <c r="P20" i="2"/>
  <c r="P25" i="2"/>
  <c r="P29" i="2"/>
  <c r="P33" i="2"/>
  <c r="P26" i="2"/>
  <c r="P30" i="2"/>
  <c r="P27" i="2"/>
  <c r="P31" i="2"/>
  <c r="P34" i="2"/>
  <c r="J18" i="2"/>
  <c r="J20" i="2"/>
  <c r="P28" i="2"/>
  <c r="P32" i="2"/>
  <c r="J15" i="2"/>
  <c r="J26" i="2"/>
  <c r="J30" i="2"/>
  <c r="J19" i="2"/>
  <c r="J31" i="2"/>
  <c r="J34" i="2"/>
  <c r="J22" i="2"/>
  <c r="J23" i="2"/>
  <c r="J14" i="2"/>
  <c r="J28" i="2"/>
  <c r="J32" i="2"/>
  <c r="J3" i="2"/>
  <c r="J27" i="2"/>
  <c r="J16" i="2"/>
  <c r="J17" i="2"/>
  <c r="J25" i="2"/>
  <c r="J29" i="2"/>
  <c r="J33" i="2"/>
  <c r="G10" i="4" l="1"/>
  <c r="G9" i="4"/>
  <c r="G8" i="4"/>
  <c r="G6" i="4"/>
  <c r="G7" i="4"/>
  <c r="G5" i="4"/>
  <c r="G4" i="4"/>
  <c r="F9" i="4"/>
  <c r="F8" i="4"/>
  <c r="F7" i="4"/>
  <c r="F6" i="4"/>
  <c r="F5" i="4"/>
  <c r="F4" i="4"/>
  <c r="E8" i="4"/>
  <c r="E7" i="4"/>
  <c r="E6" i="4"/>
  <c r="E5" i="4"/>
  <c r="E4" i="4"/>
  <c r="D6" i="4"/>
  <c r="D5" i="4"/>
  <c r="D4" i="4"/>
  <c r="C6" i="4"/>
  <c r="C5" i="4"/>
  <c r="C4" i="4"/>
  <c r="B5" i="4"/>
  <c r="B4" i="4"/>
  <c r="B14" i="4" s="1"/>
  <c r="H5" i="6" l="1"/>
  <c r="F34" i="2" s="1"/>
  <c r="H7" i="6"/>
  <c r="F27" i="2" s="1"/>
  <c r="H8" i="5"/>
  <c r="H43" i="5"/>
  <c r="E14" i="4"/>
  <c r="H12" i="5"/>
  <c r="H47" i="5"/>
  <c r="H4" i="6"/>
  <c r="G14" i="4"/>
  <c r="H65" i="5"/>
  <c r="H32" i="5"/>
  <c r="H60" i="5"/>
  <c r="D14" i="4"/>
  <c r="H44" i="5"/>
  <c r="H8" i="6"/>
  <c r="H9" i="5"/>
  <c r="F5" i="2"/>
  <c r="F14" i="4"/>
  <c r="M5" i="2"/>
  <c r="N5" i="2" s="1"/>
  <c r="H3" i="6"/>
  <c r="C14" i="4"/>
  <c r="H10" i="5"/>
  <c r="H45" i="5"/>
  <c r="H9" i="6"/>
  <c r="E5" i="2"/>
  <c r="K14" i="2"/>
  <c r="L14" i="2" s="1"/>
  <c r="H72" i="5"/>
  <c r="H10" i="6"/>
  <c r="H11" i="5"/>
  <c r="H46" i="5"/>
  <c r="H11" i="6"/>
  <c r="K26" i="2"/>
  <c r="L26" i="2" s="1"/>
  <c r="E27" i="2" l="1"/>
  <c r="M26" i="2"/>
  <c r="N26" i="2" s="1"/>
  <c r="E26" i="2"/>
  <c r="M23" i="2"/>
  <c r="N23" i="2" s="1"/>
  <c r="K23" i="2"/>
  <c r="L23" i="2" s="1"/>
  <c r="E23" i="2"/>
  <c r="F23" i="2"/>
  <c r="F15" i="2"/>
  <c r="M33" i="2"/>
  <c r="N33" i="2" s="1"/>
  <c r="K33" i="2"/>
  <c r="L33" i="2" s="1"/>
  <c r="E33" i="2"/>
  <c r="E20" i="2"/>
  <c r="M20" i="2"/>
  <c r="N20" i="2" s="1"/>
  <c r="K20" i="2"/>
  <c r="L20" i="2" s="1"/>
  <c r="F20" i="2"/>
  <c r="M25" i="2"/>
  <c r="N25" i="2" s="1"/>
  <c r="M16" i="2"/>
  <c r="N16" i="2" s="1"/>
  <c r="K16" i="2"/>
  <c r="L16" i="2" s="1"/>
  <c r="K25" i="2"/>
  <c r="L25" i="2" s="1"/>
  <c r="E10" i="2"/>
  <c r="E25" i="2"/>
  <c r="E16" i="2"/>
  <c r="H75" i="5"/>
  <c r="F19" i="2"/>
  <c r="H13" i="6"/>
  <c r="F25" i="2"/>
  <c r="M32" i="2"/>
  <c r="N32" i="2" s="1"/>
  <c r="K32" i="2"/>
  <c r="L32" i="2" s="1"/>
  <c r="E32" i="2"/>
  <c r="F16" i="2"/>
  <c r="F28" i="2"/>
  <c r="F17" i="2"/>
  <c r="M4" i="2"/>
  <c r="N4" i="2" s="1"/>
  <c r="K4" i="2"/>
  <c r="L4" i="2" s="1"/>
  <c r="F4" i="2"/>
  <c r="M31" i="2"/>
  <c r="N31" i="2" s="1"/>
  <c r="K31" i="2"/>
  <c r="L31" i="2" s="1"/>
  <c r="E31" i="2"/>
  <c r="E4" i="2"/>
  <c r="M11" i="2"/>
  <c r="N11" i="2" s="1"/>
  <c r="K11" i="2"/>
  <c r="L11" i="2" s="1"/>
  <c r="M29" i="2"/>
  <c r="N29" i="2" s="1"/>
  <c r="K29" i="2"/>
  <c r="L29" i="2" s="1"/>
  <c r="F11" i="2"/>
  <c r="E15" i="2"/>
  <c r="M15" i="2"/>
  <c r="N15" i="2" s="1"/>
  <c r="K15" i="2"/>
  <c r="L15" i="2" s="1"/>
  <c r="E29" i="2"/>
  <c r="E11" i="2"/>
  <c r="H25" i="3"/>
  <c r="M19" i="2"/>
  <c r="N19" i="2" s="1"/>
  <c r="K19" i="2"/>
  <c r="L19" i="2" s="1"/>
  <c r="E19" i="2"/>
  <c r="M27" i="2"/>
  <c r="N27" i="2" s="1"/>
  <c r="K27" i="2"/>
  <c r="L27" i="2" s="1"/>
  <c r="F22" i="2"/>
  <c r="M30" i="2"/>
  <c r="N30" i="2" s="1"/>
  <c r="K30" i="2"/>
  <c r="L30" i="2" s="1"/>
  <c r="E30" i="2"/>
  <c r="E18" i="2"/>
  <c r="M18" i="2"/>
  <c r="N18" i="2" s="1"/>
  <c r="K18" i="2"/>
  <c r="L18" i="2" s="1"/>
  <c r="F18" i="2"/>
  <c r="F14" i="2"/>
  <c r="M21" i="2"/>
  <c r="N21" i="2" s="1"/>
  <c r="F21" i="2"/>
  <c r="E21" i="2"/>
  <c r="K21" i="2"/>
  <c r="L21" i="2" s="1"/>
  <c r="M34" i="2"/>
  <c r="N34" i="2" s="1"/>
  <c r="K34" i="2"/>
  <c r="L34" i="2" s="1"/>
  <c r="E34" i="2"/>
  <c r="M22" i="2"/>
  <c r="N22" i="2" s="1"/>
  <c r="K22" i="2"/>
  <c r="L22" i="2" s="1"/>
  <c r="E22" i="2"/>
  <c r="M12" i="2"/>
  <c r="N12" i="2" s="1"/>
  <c r="K12" i="2"/>
  <c r="L12" i="2" s="1"/>
  <c r="F12" i="2"/>
  <c r="E12" i="2"/>
  <c r="E14" i="2"/>
  <c r="M14" i="2"/>
  <c r="N14" i="2" s="1"/>
  <c r="M17" i="2"/>
  <c r="N17" i="2" s="1"/>
  <c r="K17" i="2"/>
  <c r="L17" i="2" s="1"/>
  <c r="E3" i="2"/>
  <c r="M3" i="2"/>
  <c r="N3" i="2" s="1"/>
  <c r="M28" i="2"/>
  <c r="N28" i="2" s="1"/>
  <c r="K28" i="2"/>
  <c r="L28" i="2" s="1"/>
  <c r="K3" i="2"/>
  <c r="L3" i="2" s="1"/>
  <c r="E28" i="2"/>
  <c r="F3" i="2"/>
  <c r="E17" i="2"/>
  <c r="K5" i="2"/>
  <c r="L5" i="2" s="1"/>
</calcChain>
</file>

<file path=xl/comments1.xml><?xml version="1.0" encoding="utf-8"?>
<comments xmlns="http://schemas.openxmlformats.org/spreadsheetml/2006/main">
  <authors>
    <author>Poikonen Jouni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0 = viimeinen sija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Poikonen Jouni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0 = viimeinen sija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Poikonen Jouni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0 = viimeinen sija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<sst xmlns="http://schemas.openxmlformats.org/spreadsheetml/2006/main" count="210" uniqueCount="68">
  <si>
    <t>Peli</t>
  </si>
  <si>
    <t>Klo</t>
  </si>
  <si>
    <t>Tulos</t>
  </si>
  <si>
    <t>Pisteet</t>
  </si>
  <si>
    <t>HJ</t>
  </si>
  <si>
    <t>Jabla</t>
  </si>
  <si>
    <t>Päivä</t>
  </si>
  <si>
    <t>7 Wonders</t>
  </si>
  <si>
    <t>Lisätietoa</t>
  </si>
  <si>
    <t>Sija</t>
  </si>
  <si>
    <t>Pisteet eri pelaajamäärillä</t>
  </si>
  <si>
    <t>+ Cities</t>
  </si>
  <si>
    <t>EK</t>
  </si>
  <si>
    <t>Noze</t>
  </si>
  <si>
    <t>Jani</t>
  </si>
  <si>
    <t>Modern Art</t>
  </si>
  <si>
    <t>Love Letter</t>
  </si>
  <si>
    <t>Small World</t>
  </si>
  <si>
    <t>Tarkistussumma</t>
  </si>
  <si>
    <t>Muutos</t>
  </si>
  <si>
    <t>Pelaaja</t>
  </si>
  <si>
    <t>Pelejä</t>
  </si>
  <si>
    <t>Perjantain</t>
  </si>
  <si>
    <t>jälkeen</t>
  </si>
  <si>
    <t>Lauantain</t>
  </si>
  <si>
    <t>Sunnuntain</t>
  </si>
  <si>
    <t>%</t>
  </si>
  <si>
    <t>Voittoja</t>
  </si>
  <si>
    <t>Viimeisenä</t>
  </si>
  <si>
    <t>Plussalla</t>
  </si>
  <si>
    <t>Miinuksella</t>
  </si>
  <si>
    <t>peliä</t>
  </si>
  <si>
    <t>pelaajaa</t>
  </si>
  <si>
    <t>San Juan</t>
  </si>
  <si>
    <t>Aatu</t>
  </si>
  <si>
    <t>Olympia B</t>
  </si>
  <si>
    <t>Alexandria B</t>
  </si>
  <si>
    <t>Stonehenge A</t>
  </si>
  <si>
    <t>Mani</t>
  </si>
  <si>
    <t>Abu Simbel A</t>
  </si>
  <si>
    <t>Roma A</t>
  </si>
  <si>
    <t>Byzantium A</t>
  </si>
  <si>
    <t>Kaikkien pelien pisteet yhteensä :)</t>
  </si>
  <si>
    <t>Terraforming Mars</t>
  </si>
  <si>
    <t>Mikko</t>
  </si>
  <si>
    <t>Mining Guild</t>
  </si>
  <si>
    <t>Inventrix</t>
  </si>
  <si>
    <t>Thorgate</t>
  </si>
  <si>
    <t>Credicor</t>
  </si>
  <si>
    <t>Helion</t>
  </si>
  <si>
    <t>Exploding Kittens</t>
  </si>
  <si>
    <t>Gang of Four</t>
  </si>
  <si>
    <t>Jmd</t>
  </si>
  <si>
    <t>Port Royal</t>
  </si>
  <si>
    <t>Airlines</t>
  </si>
  <si>
    <t>Stephenson's Rocket</t>
  </si>
  <si>
    <t>Babylon A</t>
  </si>
  <si>
    <t>Efesos B</t>
  </si>
  <si>
    <t>Halikarnassos A</t>
  </si>
  <si>
    <t>Rhodos A</t>
  </si>
  <si>
    <t>Giza A</t>
  </si>
  <si>
    <t>Olympos</t>
  </si>
  <si>
    <t>Repa</t>
  </si>
  <si>
    <t>Medici</t>
  </si>
  <si>
    <t>Mallorca</t>
  </si>
  <si>
    <t>Coloretto</t>
  </si>
  <si>
    <t>Paris Paris</t>
  </si>
  <si>
    <t>Manneken Piss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</si>
</sst>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20" fontId="0" fillId="0" borderId="0" xfId="0" applyNumberFormat="1"/>
    <xf numFmtId="2" fontId="0" fillId="0" borderId="0" xfId="0" applyNumberFormat="1"/>
    <xf numFmtId="0" fontId="0" fillId="0" borderId="0" xfId="0" quotePrefix="1"/>
    <xf numFmtId="9" fontId="2" fillId="0" borderId="0" xfId="1" applyNumberFormat="1" applyFont="1"/>
    <xf numFmtId="1" fontId="2" fillId="0" borderId="0" xfId="1" applyNumberFormat="1" applyFont="1"/>
    <xf numFmtId="0" fontId="3" fillId="0" borderId="1" xfId="1" applyFont="1" applyBorder="1"/>
    <xf numFmtId="0" fontId="2" fillId="0" borderId="1" xfId="1" applyFont="1" applyBorder="1"/>
    <xf numFmtId="9" fontId="2" fillId="0" borderId="1" xfId="1" applyNumberFormat="1" applyFont="1" applyBorder="1"/>
    <xf numFmtId="1" fontId="2" fillId="0" borderId="1" xfId="1" applyNumberFormat="1" applyFont="1" applyBorder="1"/>
    <xf numFmtId="0" fontId="2" fillId="0" borderId="0" xfId="1" applyFont="1" applyBorder="1"/>
    <xf numFmtId="9" fontId="2" fillId="0" borderId="0" xfId="1" applyNumberFormat="1" applyFont="1" applyBorder="1"/>
    <xf numFmtId="1" fontId="2" fillId="0" borderId="0" xfId="1" applyNumberFormat="1" applyFont="1" applyBorder="1"/>
    <xf numFmtId="0" fontId="2" fillId="0" borderId="2" xfId="1" applyFont="1" applyBorder="1"/>
    <xf numFmtId="9" fontId="2" fillId="0" borderId="2" xfId="1" applyNumberFormat="1" applyFont="1" applyBorder="1"/>
    <xf numFmtId="1" fontId="2" fillId="0" borderId="2" xfId="1" applyNumberFormat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2" fontId="2" fillId="0" borderId="3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1" applyNumberFormat="1" applyFont="1" applyBorder="1"/>
    <xf numFmtId="2" fontId="2" fillId="0" borderId="7" xfId="1" applyNumberFormat="1" applyFont="1" applyBorder="1"/>
    <xf numFmtId="2" fontId="2" fillId="0" borderId="8" xfId="1" applyNumberFormat="1" applyFont="1" applyBorder="1"/>
    <xf numFmtId="164" fontId="2" fillId="0" borderId="4" xfId="1" applyNumberFormat="1" applyFont="1" applyBorder="1"/>
    <xf numFmtId="164" fontId="2" fillId="0" borderId="6" xfId="1" applyNumberFormat="1" applyFont="1" applyBorder="1"/>
    <xf numFmtId="164" fontId="2" fillId="0" borderId="8" xfId="1" applyNumberFormat="1" applyFont="1" applyBorder="1"/>
    <xf numFmtId="9" fontId="2" fillId="0" borderId="4" xfId="1" applyNumberFormat="1" applyFont="1" applyBorder="1"/>
    <xf numFmtId="9" fontId="2" fillId="0" borderId="6" xfId="1" applyNumberFormat="1" applyFont="1" applyBorder="1"/>
    <xf numFmtId="9" fontId="2" fillId="0" borderId="8" xfId="1" applyNumberFormat="1" applyFont="1" applyBorder="1"/>
    <xf numFmtId="0" fontId="2" fillId="0" borderId="3" xfId="1" applyNumberFormat="1" applyFont="1" applyBorder="1"/>
    <xf numFmtId="0" fontId="2" fillId="0" borderId="5" xfId="1" applyNumberFormat="1" applyFont="1" applyBorder="1"/>
    <xf numFmtId="0" fontId="2" fillId="0" borderId="7" xfId="1" applyNumberFormat="1" applyFont="1" applyBorder="1"/>
    <xf numFmtId="1" fontId="3" fillId="0" borderId="0" xfId="1" applyNumberFormat="1" applyFont="1" applyBorder="1"/>
    <xf numFmtId="1" fontId="3" fillId="0" borderId="2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Bittium 2015 colors">
      <a:dk1>
        <a:srgbClr val="000000"/>
      </a:dk1>
      <a:lt1>
        <a:srgbClr val="FFFFFF"/>
      </a:lt1>
      <a:dk2>
        <a:srgbClr val="51626F"/>
      </a:dk2>
      <a:lt2>
        <a:srgbClr val="E0E6E6"/>
      </a:lt2>
      <a:accent1>
        <a:srgbClr val="6F9AD3"/>
      </a:accent1>
      <a:accent2>
        <a:srgbClr val="51626F"/>
      </a:accent2>
      <a:accent3>
        <a:srgbClr val="FFCB4F"/>
      </a:accent3>
      <a:accent4>
        <a:srgbClr val="C966CD"/>
      </a:accent4>
      <a:accent5>
        <a:srgbClr val="C3E76F"/>
      </a:accent5>
      <a:accent6>
        <a:srgbClr val="DCDCDC"/>
      </a:accent6>
      <a:hlink>
        <a:srgbClr val="009EE8"/>
      </a:hlink>
      <a:folHlink>
        <a:srgbClr val="00BFFA"/>
      </a:folHlink>
    </a:clrScheme>
    <a:fontScheme name="Bittium 2015 Calibri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120" zoomScaleNormal="120" workbookViewId="0">
      <selection activeCell="D25" sqref="D25"/>
    </sheetView>
  </sheetViews>
  <sheetFormatPr defaultRowHeight="12.75" x14ac:dyDescent="0.2"/>
  <cols>
    <col min="1" max="1" width="13.140625" style="1" customWidth="1"/>
    <col min="2" max="2" width="9.140625" style="19"/>
    <col min="3" max="3" width="9.140625" style="20"/>
    <col min="4" max="4" width="9.140625" style="1"/>
    <col min="5" max="5" width="9.140625" style="25"/>
    <col min="6" max="6" width="9.140625" style="26"/>
    <col min="7" max="7" width="9.140625" style="19"/>
    <col min="8" max="8" width="9.140625" style="30"/>
    <col min="9" max="9" width="9.140625" style="19"/>
    <col min="10" max="10" width="9.140625" style="33"/>
    <col min="11" max="11" width="9.140625" style="19"/>
    <col min="12" max="12" width="9.140625" style="33"/>
    <col min="13" max="13" width="9.140625" style="19"/>
    <col min="14" max="14" width="9.140625" style="33"/>
    <col min="15" max="15" width="9.140625" style="36"/>
    <col min="16" max="16" width="9.140625" style="33"/>
    <col min="17" max="17" width="9.140625" style="6"/>
    <col min="18" max="18" width="9.140625" style="5"/>
    <col min="19" max="19" width="9.140625" style="1"/>
    <col min="20" max="20" width="9.140625" style="5"/>
    <col min="21" max="21" width="9.140625" style="1"/>
    <col min="22" max="22" width="9.140625" style="5"/>
    <col min="23" max="16384" width="9.140625" style="1"/>
  </cols>
  <sheetData>
    <row r="1" spans="1:22" x14ac:dyDescent="0.2">
      <c r="A1" s="1" t="s">
        <v>6</v>
      </c>
      <c r="B1" s="17" t="s">
        <v>9</v>
      </c>
      <c r="C1" s="18" t="s">
        <v>19</v>
      </c>
      <c r="D1" s="1" t="s">
        <v>20</v>
      </c>
      <c r="E1" s="23" t="s">
        <v>3</v>
      </c>
      <c r="F1" s="24" t="s">
        <v>19</v>
      </c>
      <c r="G1" s="17" t="s">
        <v>21</v>
      </c>
      <c r="H1" s="29" t="s">
        <v>19</v>
      </c>
      <c r="I1" s="17" t="s">
        <v>27</v>
      </c>
      <c r="J1" s="32" t="s">
        <v>26</v>
      </c>
      <c r="K1" s="17" t="s">
        <v>29</v>
      </c>
      <c r="L1" s="32" t="s">
        <v>26</v>
      </c>
      <c r="M1" s="17" t="s">
        <v>30</v>
      </c>
      <c r="N1" s="32" t="s">
        <v>26</v>
      </c>
      <c r="O1" s="35" t="s">
        <v>28</v>
      </c>
      <c r="P1" s="32" t="s">
        <v>26</v>
      </c>
      <c r="Q1" s="6" t="s">
        <v>42</v>
      </c>
    </row>
    <row r="3" spans="1:22" s="8" customFormat="1" x14ac:dyDescent="0.2">
      <c r="A3" s="7" t="s">
        <v>22</v>
      </c>
      <c r="B3" s="17">
        <v>1</v>
      </c>
      <c r="C3" s="18"/>
      <c r="D3" s="8" t="s">
        <v>44</v>
      </c>
      <c r="E3" s="23">
        <f>SUMIF(Perjantai!D:D,Turnaus!D3,Perjantai!H:H)</f>
        <v>3.0999999999999996</v>
      </c>
      <c r="F3" s="24">
        <f>SUMIF(Perjantai!D:D,Turnaus!D3,Perjantai!H:H)</f>
        <v>3.0999999999999996</v>
      </c>
      <c r="G3" s="17">
        <f>COUNTIF(Perjantai!D:D,D3)</f>
        <v>4</v>
      </c>
      <c r="H3" s="29">
        <f>COUNTIF(Perjantai!D:D,D3)</f>
        <v>4</v>
      </c>
      <c r="I3" s="17">
        <f>COUNTIFS(Perjantai!D:D,D3,Perjantai!C:C,1)</f>
        <v>2</v>
      </c>
      <c r="J3" s="32">
        <f>I3/$G3</f>
        <v>0.5</v>
      </c>
      <c r="K3" s="17">
        <f>COUNTIFS(Perjantai!D:D,D3,Perjantai!H:H,"&gt;0")</f>
        <v>3</v>
      </c>
      <c r="L3" s="32">
        <f>K3/$G3</f>
        <v>0.75</v>
      </c>
      <c r="M3" s="17">
        <f>COUNTIFS(Perjantai!D:D,D3,Perjantai!H:H,"&lt;0")</f>
        <v>1</v>
      </c>
      <c r="N3" s="32">
        <f>M3/$G3</f>
        <v>0.25</v>
      </c>
      <c r="O3" s="35">
        <f>COUNTIFS(Perjantai!D:D,D3,Perjantai!C:C,0)</f>
        <v>1</v>
      </c>
      <c r="P3" s="32">
        <f>O3/$G3</f>
        <v>0.25</v>
      </c>
      <c r="Q3" s="10">
        <f>SUMIF(Perjantai!D:D,Turnaus!D3,Perjantai!F:F)</f>
        <v>6</v>
      </c>
      <c r="R3" s="9"/>
      <c r="T3" s="9"/>
      <c r="V3" s="9"/>
    </row>
    <row r="4" spans="1:22" s="11" customFormat="1" x14ac:dyDescent="0.2">
      <c r="A4" s="11" t="s">
        <v>23</v>
      </c>
      <c r="B4" s="19">
        <v>2</v>
      </c>
      <c r="C4" s="20"/>
      <c r="D4" s="11" t="s">
        <v>34</v>
      </c>
      <c r="E4" s="25">
        <f>SUMIF(Perjantai!D:D,Turnaus!D4,Perjantai!H:H)</f>
        <v>1.0999999999999996</v>
      </c>
      <c r="F4" s="26">
        <f>SUMIF(Perjantai!D:D,Turnaus!D4,Perjantai!H:H)</f>
        <v>1.0999999999999996</v>
      </c>
      <c r="G4" s="19">
        <f>COUNTIF(Perjantai!D:D,D4)</f>
        <v>4</v>
      </c>
      <c r="H4" s="30">
        <f>COUNTIF(Perjantai!D:D,D4)</f>
        <v>4</v>
      </c>
      <c r="I4" s="19">
        <f>COUNTIFS(Perjantai!D:D,D4,Perjantai!C:C,1)</f>
        <v>1</v>
      </c>
      <c r="J4" s="33">
        <f>I4/$G4</f>
        <v>0.25</v>
      </c>
      <c r="K4" s="19">
        <f>COUNTIFS(Perjantai!D:D,D4,Perjantai!H:H,"&gt;0")</f>
        <v>2</v>
      </c>
      <c r="L4" s="33">
        <f>K4/$G4</f>
        <v>0.5</v>
      </c>
      <c r="M4" s="19">
        <f>COUNTIFS(Perjantai!D:D,D4,Perjantai!H:H,"&lt;0")</f>
        <v>2</v>
      </c>
      <c r="N4" s="33">
        <f>M4/$G4</f>
        <v>0.5</v>
      </c>
      <c r="O4" s="36">
        <f>COUNTIFS(Perjantai!D:D,D4,Perjantai!C:C,0)</f>
        <v>1</v>
      </c>
      <c r="P4" s="33">
        <f>O4/$G4</f>
        <v>0.25</v>
      </c>
      <c r="Q4" s="13">
        <f>SUMIF(Perjantai!D:D,Turnaus!D4,Perjantai!F:F)</f>
        <v>-20</v>
      </c>
      <c r="R4" s="12"/>
      <c r="T4" s="12"/>
      <c r="V4" s="12"/>
    </row>
    <row r="5" spans="1:22" s="11" customFormat="1" x14ac:dyDescent="0.2">
      <c r="B5" s="19">
        <v>3</v>
      </c>
      <c r="C5" s="20"/>
      <c r="D5" s="11" t="s">
        <v>5</v>
      </c>
      <c r="E5" s="25">
        <f>SUMIF(Perjantai!D:D,Turnaus!D5,Perjantai!H:H)</f>
        <v>9.9999999999999645E-2</v>
      </c>
      <c r="F5" s="26">
        <f>SUMIF(Perjantai!D:D,Turnaus!D5,Perjantai!H:H)</f>
        <v>9.9999999999999645E-2</v>
      </c>
      <c r="G5" s="19">
        <f>COUNTIF(Perjantai!D:D,D5)</f>
        <v>4</v>
      </c>
      <c r="H5" s="30">
        <f>COUNTIF(Perjantai!D:D,D5)</f>
        <v>4</v>
      </c>
      <c r="I5" s="19">
        <f>COUNTIFS(Perjantai!D:D,D5,Perjantai!C:C,1)</f>
        <v>1</v>
      </c>
      <c r="J5" s="33">
        <f>I5/$G5</f>
        <v>0.25</v>
      </c>
      <c r="K5" s="19">
        <f>COUNTIFS(Perjantai!D:D,D5,Perjantai!H:H,"&gt;0")</f>
        <v>2</v>
      </c>
      <c r="L5" s="33">
        <f>K5/$G5</f>
        <v>0.5</v>
      </c>
      <c r="M5" s="19">
        <f>COUNTIFS(Perjantai!D:D,D5,Perjantai!H:H,"&lt;0")</f>
        <v>2</v>
      </c>
      <c r="N5" s="33">
        <f>M5/$G5</f>
        <v>0.5</v>
      </c>
      <c r="O5" s="36">
        <f>COUNTIFS(Perjantai!D:D,D5,Perjantai!C:C,0)</f>
        <v>0</v>
      </c>
      <c r="P5" s="33">
        <f>O5/$G5</f>
        <v>0</v>
      </c>
      <c r="Q5" s="13">
        <f>SUMIF(Perjantai!D:D,Turnaus!D5,Perjantai!F:F)</f>
        <v>2</v>
      </c>
      <c r="R5" s="12"/>
      <c r="T5" s="12"/>
      <c r="V5" s="12"/>
    </row>
    <row r="6" spans="1:22" s="11" customFormat="1" x14ac:dyDescent="0.2">
      <c r="B6" s="19"/>
      <c r="C6" s="20"/>
      <c r="D6" s="11" t="s">
        <v>12</v>
      </c>
      <c r="E6" s="25">
        <f>SUMIF(Perjantai!D:D,Turnaus!D6,Perjantai!H:H)</f>
        <v>0</v>
      </c>
      <c r="F6" s="26"/>
      <c r="G6" s="19"/>
      <c r="H6" s="30"/>
      <c r="I6" s="19"/>
      <c r="J6" s="33"/>
      <c r="K6" s="19"/>
      <c r="L6" s="33"/>
      <c r="M6" s="19"/>
      <c r="N6" s="33"/>
      <c r="O6" s="36"/>
      <c r="P6" s="33"/>
      <c r="Q6" s="13"/>
      <c r="R6" s="12"/>
      <c r="T6" s="12"/>
      <c r="V6" s="12"/>
    </row>
    <row r="7" spans="1:22" s="11" customFormat="1" x14ac:dyDescent="0.2">
      <c r="B7" s="19"/>
      <c r="C7" s="20"/>
      <c r="D7" s="11" t="s">
        <v>14</v>
      </c>
      <c r="E7" s="25">
        <f>SUMIF(Perjantai!D:D,Turnaus!D7,Perjantai!H:H)</f>
        <v>0</v>
      </c>
      <c r="F7" s="26"/>
      <c r="G7" s="19"/>
      <c r="H7" s="30"/>
      <c r="I7" s="19"/>
      <c r="J7" s="33"/>
      <c r="K7" s="19"/>
      <c r="L7" s="33"/>
      <c r="M7" s="19"/>
      <c r="N7" s="33"/>
      <c r="O7" s="36"/>
      <c r="P7" s="33"/>
      <c r="Q7" s="13"/>
      <c r="R7" s="12"/>
      <c r="T7" s="12"/>
      <c r="V7" s="12"/>
    </row>
    <row r="8" spans="1:22" s="11" customFormat="1" x14ac:dyDescent="0.2">
      <c r="B8" s="19"/>
      <c r="C8" s="20"/>
      <c r="D8" s="11" t="s">
        <v>52</v>
      </c>
      <c r="E8" s="25">
        <f>SUMIF(Perjantai!D:D,Turnaus!D8,Perjantai!H:H)</f>
        <v>0</v>
      </c>
      <c r="F8" s="26"/>
      <c r="G8" s="19"/>
      <c r="H8" s="30"/>
      <c r="I8" s="19"/>
      <c r="J8" s="33"/>
      <c r="K8" s="19"/>
      <c r="L8" s="33"/>
      <c r="M8" s="19"/>
      <c r="N8" s="33"/>
      <c r="O8" s="36"/>
      <c r="P8" s="33"/>
      <c r="Q8" s="13"/>
      <c r="R8" s="12"/>
      <c r="T8" s="12"/>
      <c r="V8" s="12"/>
    </row>
    <row r="9" spans="1:22" s="11" customFormat="1" x14ac:dyDescent="0.2">
      <c r="B9" s="19"/>
      <c r="C9" s="20"/>
      <c r="D9" s="11" t="s">
        <v>38</v>
      </c>
      <c r="E9" s="25">
        <f>SUMIF(Perjantai!D:D,Turnaus!D9,Perjantai!H:H)</f>
        <v>0</v>
      </c>
      <c r="F9" s="26"/>
      <c r="G9" s="19"/>
      <c r="H9" s="30"/>
      <c r="I9" s="19"/>
      <c r="J9" s="33"/>
      <c r="K9" s="19"/>
      <c r="L9" s="33"/>
      <c r="M9" s="19"/>
      <c r="N9" s="33"/>
      <c r="O9" s="36"/>
      <c r="P9" s="33"/>
      <c r="Q9" s="13"/>
      <c r="R9" s="12"/>
      <c r="T9" s="12"/>
      <c r="V9" s="12"/>
    </row>
    <row r="10" spans="1:22" s="11" customFormat="1" x14ac:dyDescent="0.2">
      <c r="B10" s="19"/>
      <c r="C10" s="20"/>
      <c r="D10" s="11" t="s">
        <v>62</v>
      </c>
      <c r="E10" s="25">
        <f>SUMIF(Perjantai!D:D,Turnaus!D10,Perjantai!H:H)</f>
        <v>0</v>
      </c>
      <c r="F10" s="26"/>
      <c r="G10" s="19"/>
      <c r="H10" s="30"/>
      <c r="I10" s="19"/>
      <c r="J10" s="33"/>
      <c r="K10" s="19"/>
      <c r="L10" s="33"/>
      <c r="M10" s="19"/>
      <c r="N10" s="33"/>
      <c r="O10" s="36"/>
      <c r="P10" s="33"/>
      <c r="Q10" s="13"/>
      <c r="R10" s="12"/>
      <c r="T10" s="12"/>
      <c r="V10" s="12"/>
    </row>
    <row r="11" spans="1:22" s="11" customFormat="1" x14ac:dyDescent="0.2">
      <c r="B11" s="19">
        <v>9</v>
      </c>
      <c r="C11" s="20"/>
      <c r="D11" s="11" t="s">
        <v>13</v>
      </c>
      <c r="E11" s="25">
        <f>SUMIF(Perjantai!D:D,Turnaus!D11,Perjantai!H:H)</f>
        <v>-1.9000000000000004</v>
      </c>
      <c r="F11" s="26">
        <f>SUMIF(Perjantai!D:D,Turnaus!D11,Perjantai!H:H)</f>
        <v>-1.9000000000000004</v>
      </c>
      <c r="G11" s="19">
        <f>COUNTIF(Perjantai!D:D,D11)</f>
        <v>4</v>
      </c>
      <c r="H11" s="30">
        <f>COUNTIF(Perjantai!D:D,D11)</f>
        <v>4</v>
      </c>
      <c r="I11" s="19">
        <f>COUNTIFS(Perjantai!D:D,D11,Perjantai!C:C,1)</f>
        <v>0</v>
      </c>
      <c r="J11" s="33">
        <f>I11/$G11</f>
        <v>0</v>
      </c>
      <c r="K11" s="19">
        <f>COUNTIFS(Perjantai!D:D,D11,Perjantai!H:H,"&gt;0")</f>
        <v>1</v>
      </c>
      <c r="L11" s="33">
        <f>K11/$G11</f>
        <v>0.25</v>
      </c>
      <c r="M11" s="19">
        <f>COUNTIFS(Perjantai!D:D,D11,Perjantai!H:H,"&lt;0")</f>
        <v>3</v>
      </c>
      <c r="N11" s="33">
        <f>M11/$G11</f>
        <v>0.75</v>
      </c>
      <c r="O11" s="36">
        <f>COUNTIFS(Perjantai!D:D,D11,Perjantai!C:C,0)</f>
        <v>1</v>
      </c>
      <c r="P11" s="33">
        <f>O11/$G11</f>
        <v>0.25</v>
      </c>
      <c r="Q11" s="13">
        <f>SUMIF(Perjantai!D:D,Turnaus!D11,Perjantai!F:F)</f>
        <v>-81</v>
      </c>
      <c r="R11" s="12"/>
      <c r="T11" s="12"/>
      <c r="V11" s="12"/>
    </row>
    <row r="12" spans="1:22" s="14" customFormat="1" x14ac:dyDescent="0.2">
      <c r="B12" s="21">
        <v>10</v>
      </c>
      <c r="C12" s="22"/>
      <c r="D12" s="14" t="s">
        <v>4</v>
      </c>
      <c r="E12" s="27">
        <f>SUMIF(Perjantai!D:D,Turnaus!D12,Perjantai!H:H)</f>
        <v>-2.4000000000000004</v>
      </c>
      <c r="F12" s="28">
        <f>SUMIF(Perjantai!D:D,Turnaus!D12,Perjantai!H:H)</f>
        <v>-2.4000000000000004</v>
      </c>
      <c r="G12" s="21">
        <f>COUNTIF(Perjantai!D:D,D12)</f>
        <v>2</v>
      </c>
      <c r="H12" s="31">
        <f>COUNTIF(Perjantai!D:D,D12)</f>
        <v>2</v>
      </c>
      <c r="I12" s="21">
        <f>COUNTIFS(Perjantai!D:D,D12,Perjantai!C:C,1)</f>
        <v>0</v>
      </c>
      <c r="J12" s="34">
        <f>I12/$G12</f>
        <v>0</v>
      </c>
      <c r="K12" s="21">
        <f>COUNTIFS(Perjantai!D:D,D12,Perjantai!H:H,"&gt;0")</f>
        <v>0</v>
      </c>
      <c r="L12" s="34">
        <f>K12/$G12</f>
        <v>0</v>
      </c>
      <c r="M12" s="21">
        <f>COUNTIFS(Perjantai!D:D,D12,Perjantai!H:H,"&lt;0")</f>
        <v>2</v>
      </c>
      <c r="N12" s="34">
        <f>M12/$G12</f>
        <v>1</v>
      </c>
      <c r="O12" s="37">
        <f>COUNTIFS(Perjantai!D:D,D12,Perjantai!C:C,0)</f>
        <v>1</v>
      </c>
      <c r="P12" s="34">
        <f>O12/$G12</f>
        <v>0.5</v>
      </c>
      <c r="Q12" s="39">
        <f>SUMIF(Perjantai!D:D,Turnaus!D12,Perjantai!F:F)</f>
        <v>38</v>
      </c>
      <c r="R12" s="15"/>
      <c r="T12" s="15"/>
      <c r="V12" s="15"/>
    </row>
    <row r="14" spans="1:22" s="8" customFormat="1" x14ac:dyDescent="0.2">
      <c r="A14" s="7" t="s">
        <v>24</v>
      </c>
      <c r="B14" s="17">
        <v>1</v>
      </c>
      <c r="C14" s="18">
        <v>8</v>
      </c>
      <c r="D14" s="8" t="s">
        <v>13</v>
      </c>
      <c r="E14" s="23">
        <f>SUMIF(Perjantai!D:D,Turnaus!D14,Perjantai!H:H)+SUMIF(Lauantai!D:D,Turnaus!D14,Lauantai!H:H)</f>
        <v>7.3071428571428552</v>
      </c>
      <c r="F14" s="24">
        <f>SUMIF(Lauantai!D:D,Turnaus!D14,Lauantai!H:H)</f>
        <v>9.2071428571428555</v>
      </c>
      <c r="G14" s="17">
        <f>COUNTIF(Perjantai!D:D,D14)+COUNTIF(Lauantai!D:D,D14)</f>
        <v>12</v>
      </c>
      <c r="H14" s="29">
        <f>COUNTIF(Lauantai!D:D,D14)</f>
        <v>8</v>
      </c>
      <c r="I14" s="17">
        <f>COUNTIFS(Perjantai!D:D,D14,Perjantai!C:C,1)+COUNTIFS(Lauantai!D:D,D14,Lauantai!C:C,1)</f>
        <v>3</v>
      </c>
      <c r="J14" s="32">
        <f t="shared" ref="J14:J23" si="0">I14/$G14</f>
        <v>0.25</v>
      </c>
      <c r="K14" s="17">
        <f>COUNTIFS(Perjantai!D:D,D14,Perjantai!H:H,"&gt;0")+COUNTIFS(Lauantai!D:D,D14,Lauantai!H:H,"&gt;0")</f>
        <v>7</v>
      </c>
      <c r="L14" s="32">
        <f t="shared" ref="L14:L23" si="1">K14/$G14</f>
        <v>0.58333333333333337</v>
      </c>
      <c r="M14" s="17">
        <f>COUNTIFS(Perjantai!D:D,D14,Perjantai!H:H,"&lt;0")+COUNTIFS(Lauantai!D:D,D14,Lauantai!H:H,"&lt;0")</f>
        <v>5</v>
      </c>
      <c r="N14" s="32">
        <f t="shared" ref="N14:N23" si="2">M14/$G14</f>
        <v>0.41666666666666669</v>
      </c>
      <c r="O14" s="35">
        <f>COUNTIFS(Perjantai!D:D,D14,Perjantai!C:C,0)+COUNTIFS(Lauantai!D:D,D14,Lauantai!C:C,0)</f>
        <v>1</v>
      </c>
      <c r="P14" s="32">
        <f t="shared" ref="P14:P23" si="3">O14/$G14</f>
        <v>8.3333333333333329E-2</v>
      </c>
      <c r="Q14" s="10">
        <f>SUMIF(Perjantai!D:D,Turnaus!D14,Perjantai!F:F)+SUMIF(Lauantai!D:D,Turnaus!D14,Lauantai!F:F)</f>
        <v>680</v>
      </c>
      <c r="R14" s="9"/>
      <c r="T14" s="9"/>
      <c r="V14" s="9"/>
    </row>
    <row r="15" spans="1:22" s="11" customFormat="1" x14ac:dyDescent="0.2">
      <c r="A15" s="11" t="s">
        <v>23</v>
      </c>
      <c r="B15" s="19">
        <v>2</v>
      </c>
      <c r="C15" s="20"/>
      <c r="D15" s="11" t="s">
        <v>52</v>
      </c>
      <c r="E15" s="25">
        <f>SUMIF(Perjantai!D:D,Turnaus!D15,Perjantai!H:H)+SUMIF(Lauantai!D:D,Turnaus!D15,Lauantai!H:H)</f>
        <v>4.9571428571428573</v>
      </c>
      <c r="F15" s="26">
        <f>SUMIF(Lauantai!D:D,Turnaus!D15,Lauantai!H:H)</f>
        <v>4.9571428571428573</v>
      </c>
      <c r="G15" s="19">
        <f>COUNTIF(Perjantai!D:D,D15)+COUNTIF(Lauantai!D:D,D15)</f>
        <v>5</v>
      </c>
      <c r="H15" s="30">
        <f>COUNTIF(Lauantai!D:D,D15)</f>
        <v>5</v>
      </c>
      <c r="I15" s="19">
        <f>COUNTIFS(Perjantai!D:D,D15,Perjantai!C:C,1)+COUNTIFS(Lauantai!D:D,D15,Lauantai!C:C,1)</f>
        <v>2</v>
      </c>
      <c r="J15" s="33">
        <f t="shared" si="0"/>
        <v>0.4</v>
      </c>
      <c r="K15" s="19">
        <f>COUNTIFS(Perjantai!D:D,D15,Perjantai!H:H,"&gt;0")+COUNTIFS(Lauantai!D:D,D15,Lauantai!H:H,"&gt;0")</f>
        <v>3</v>
      </c>
      <c r="L15" s="33">
        <f t="shared" si="1"/>
        <v>0.6</v>
      </c>
      <c r="M15" s="19">
        <f>COUNTIFS(Perjantai!D:D,D15,Perjantai!H:H,"&lt;0")+COUNTIFS(Lauantai!D:D,D15,Lauantai!H:H,"&lt;0")</f>
        <v>2</v>
      </c>
      <c r="N15" s="33">
        <f t="shared" si="2"/>
        <v>0.4</v>
      </c>
      <c r="O15" s="36">
        <f>COUNTIFS(Perjantai!D:D,D15,Perjantai!C:C,0)+COUNTIFS(Lauantai!D:D,D15,Lauantai!C:C,0)</f>
        <v>0</v>
      </c>
      <c r="P15" s="33">
        <f t="shared" si="3"/>
        <v>0</v>
      </c>
      <c r="Q15" s="38">
        <f>SUMIF(Perjantai!D:D,Turnaus!D15,Perjantai!F:F)+SUMIF(Lauantai!D:D,Turnaus!D15,Lauantai!F:F)</f>
        <v>1301</v>
      </c>
      <c r="R15" s="12"/>
      <c r="T15" s="12"/>
      <c r="V15" s="12"/>
    </row>
    <row r="16" spans="1:22" s="11" customFormat="1" x14ac:dyDescent="0.2">
      <c r="B16" s="19">
        <v>3</v>
      </c>
      <c r="C16" s="20">
        <v>6</v>
      </c>
      <c r="D16" s="11" t="s">
        <v>4</v>
      </c>
      <c r="E16" s="25">
        <f>SUMIF(Perjantai!D:D,Turnaus!D16,Perjantai!H:H)+SUMIF(Lauantai!D:D,Turnaus!D16,Lauantai!H:H)</f>
        <v>1.8571428571428559</v>
      </c>
      <c r="F16" s="26">
        <f>SUMIF(Lauantai!D:D,Turnaus!D16,Lauantai!H:H)</f>
        <v>4.2571428571428562</v>
      </c>
      <c r="G16" s="19">
        <f>COUNTIF(Perjantai!D:D,D16)+COUNTIF(Lauantai!D:D,D16)</f>
        <v>10</v>
      </c>
      <c r="H16" s="30">
        <f>COUNTIF(Lauantai!D:D,D16)</f>
        <v>8</v>
      </c>
      <c r="I16" s="19">
        <f>COUNTIFS(Perjantai!D:D,D16,Perjantai!C:C,1)+COUNTIFS(Lauantai!D:D,D16,Lauantai!C:C,1)</f>
        <v>2</v>
      </c>
      <c r="J16" s="33">
        <f t="shared" si="0"/>
        <v>0.2</v>
      </c>
      <c r="K16" s="19">
        <f>COUNTIFS(Perjantai!D:D,D16,Perjantai!H:H,"&gt;0")+COUNTIFS(Lauantai!D:D,D16,Lauantai!H:H,"&gt;0")</f>
        <v>4</v>
      </c>
      <c r="L16" s="33">
        <f t="shared" si="1"/>
        <v>0.4</v>
      </c>
      <c r="M16" s="19">
        <f>COUNTIFS(Perjantai!D:D,D16,Perjantai!H:H,"&lt;0")+COUNTIFS(Lauantai!D:D,D16,Lauantai!H:H,"&lt;0")</f>
        <v>6</v>
      </c>
      <c r="N16" s="33">
        <f t="shared" si="2"/>
        <v>0.6</v>
      </c>
      <c r="O16" s="36">
        <f>COUNTIFS(Perjantai!D:D,D16,Perjantai!C:C,0)+COUNTIFS(Lauantai!D:D,D16,Lauantai!C:C,0)</f>
        <v>2</v>
      </c>
      <c r="P16" s="33">
        <f t="shared" si="3"/>
        <v>0.2</v>
      </c>
      <c r="Q16" s="13">
        <f>SUMIF(Perjantai!D:D,Turnaus!D16,Perjantai!F:F)+SUMIF(Lauantai!D:D,Turnaus!D16,Lauantai!F:F)</f>
        <v>1118</v>
      </c>
      <c r="R16" s="12"/>
      <c r="T16" s="12"/>
      <c r="V16" s="12"/>
    </row>
    <row r="17" spans="1:22" s="11" customFormat="1" x14ac:dyDescent="0.2">
      <c r="B17" s="19">
        <v>4</v>
      </c>
      <c r="C17" s="20"/>
      <c r="D17" s="11" t="s">
        <v>12</v>
      </c>
      <c r="E17" s="25">
        <f>SUMIF(Perjantai!D:D,Turnaus!D17,Perjantai!H:H)+SUMIF(Lauantai!D:D,Turnaus!D17,Lauantai!H:H)</f>
        <v>-0.34285714285714342</v>
      </c>
      <c r="F17" s="26">
        <f>SUMIF(Lauantai!D:D,Turnaus!D17,Lauantai!H:H)</f>
        <v>-0.34285714285714342</v>
      </c>
      <c r="G17" s="19">
        <f>COUNTIF(Perjantai!D:D,D17)+COUNTIF(Lauantai!D:D,D17)</f>
        <v>6</v>
      </c>
      <c r="H17" s="30">
        <f>COUNTIF(Lauantai!D:D,D17)</f>
        <v>6</v>
      </c>
      <c r="I17" s="19">
        <f>COUNTIFS(Perjantai!D:D,D17,Perjantai!C:C,1)+COUNTIFS(Lauantai!D:D,D17,Lauantai!C:C,1)</f>
        <v>2</v>
      </c>
      <c r="J17" s="33">
        <f t="shared" si="0"/>
        <v>0.33333333333333331</v>
      </c>
      <c r="K17" s="19">
        <f>COUNTIFS(Perjantai!D:D,D17,Perjantai!H:H,"&gt;0")+COUNTIFS(Lauantai!D:D,D17,Lauantai!H:H,"&gt;0")</f>
        <v>3</v>
      </c>
      <c r="L17" s="33">
        <f t="shared" si="1"/>
        <v>0.5</v>
      </c>
      <c r="M17" s="19">
        <f>COUNTIFS(Perjantai!D:D,D17,Perjantai!H:H,"&lt;0")+COUNTIFS(Lauantai!D:D,D17,Lauantai!H:H,"&lt;0")</f>
        <v>3</v>
      </c>
      <c r="N17" s="33">
        <f t="shared" si="2"/>
        <v>0.5</v>
      </c>
      <c r="O17" s="36">
        <f>COUNTIFS(Perjantai!D:D,D17,Perjantai!C:C,0)+COUNTIFS(Lauantai!D:D,D17,Lauantai!C:C,0)</f>
        <v>3</v>
      </c>
      <c r="P17" s="33">
        <f t="shared" si="3"/>
        <v>0.5</v>
      </c>
      <c r="Q17" s="13">
        <f>SUMIF(Perjantai!D:D,Turnaus!D17,Perjantai!F:F)+SUMIF(Lauantai!D:D,Turnaus!D17,Lauantai!F:F)</f>
        <v>296</v>
      </c>
      <c r="R17" s="12"/>
      <c r="T17" s="12"/>
      <c r="V17" s="12"/>
    </row>
    <row r="18" spans="1:22" s="11" customFormat="1" x14ac:dyDescent="0.2">
      <c r="B18" s="19">
        <v>5</v>
      </c>
      <c r="C18" s="20"/>
      <c r="D18" s="11" t="s">
        <v>14</v>
      </c>
      <c r="E18" s="25">
        <f>SUMIF(Perjantai!D:D,Turnaus!D18,Perjantai!H:H)+SUMIF(Lauantai!D:D,Turnaus!D18,Lauantai!H:H)</f>
        <v>-0.65000000000000036</v>
      </c>
      <c r="F18" s="26">
        <f>SUMIF(Lauantai!D:D,Turnaus!D18,Lauantai!H:H)</f>
        <v>-0.65000000000000036</v>
      </c>
      <c r="G18" s="19">
        <f>COUNTIF(Perjantai!D:D,D18)+COUNTIF(Lauantai!D:D,D18)</f>
        <v>3</v>
      </c>
      <c r="H18" s="30">
        <f>COUNTIF(Lauantai!D:D,D18)</f>
        <v>3</v>
      </c>
      <c r="I18" s="19">
        <f>COUNTIFS(Perjantai!D:D,D18,Perjantai!C:C,1)+COUNTIFS(Lauantai!D:D,D18,Lauantai!C:C,1)</f>
        <v>1</v>
      </c>
      <c r="J18" s="33">
        <f t="shared" si="0"/>
        <v>0.33333333333333331</v>
      </c>
      <c r="K18" s="19">
        <f>COUNTIFS(Perjantai!D:D,D18,Perjantai!H:H,"&gt;0")+COUNTIFS(Lauantai!D:D,D18,Lauantai!H:H,"&gt;0")</f>
        <v>1</v>
      </c>
      <c r="L18" s="33">
        <f t="shared" si="1"/>
        <v>0.33333333333333331</v>
      </c>
      <c r="M18" s="19">
        <f>COUNTIFS(Perjantai!D:D,D18,Perjantai!H:H,"&lt;0")+COUNTIFS(Lauantai!D:D,D18,Lauantai!H:H,"&lt;0")</f>
        <v>2</v>
      </c>
      <c r="N18" s="33">
        <f t="shared" si="2"/>
        <v>0.66666666666666663</v>
      </c>
      <c r="O18" s="36">
        <f>COUNTIFS(Perjantai!D:D,D18,Perjantai!C:C,0)+COUNTIFS(Lauantai!D:D,D18,Lauantai!C:C,0)</f>
        <v>1</v>
      </c>
      <c r="P18" s="33">
        <f t="shared" si="3"/>
        <v>0.33333333333333331</v>
      </c>
      <c r="Q18" s="13">
        <f>SUMIF(Perjantai!D:D,Turnaus!D18,Perjantai!F:F)+SUMIF(Lauantai!D:D,Turnaus!D18,Lauantai!F:F)</f>
        <v>723</v>
      </c>
      <c r="R18" s="12"/>
      <c r="T18" s="12"/>
      <c r="V18" s="12"/>
    </row>
    <row r="19" spans="1:22" s="11" customFormat="1" x14ac:dyDescent="0.2">
      <c r="B19" s="19">
        <v>6</v>
      </c>
      <c r="C19" s="20">
        <v>-4</v>
      </c>
      <c r="D19" s="11" t="s">
        <v>34</v>
      </c>
      <c r="E19" s="25">
        <f>SUMIF(Perjantai!D:D,Turnaus!D19,Perjantai!H:H)+SUMIF(Lauantai!D:D,Turnaus!D19,Lauantai!H:H)</f>
        <v>-0.69285714285714395</v>
      </c>
      <c r="F19" s="26">
        <f>SUMIF(Lauantai!D:D,Turnaus!D19,Lauantai!H:H)</f>
        <v>-1.7928571428571436</v>
      </c>
      <c r="G19" s="19">
        <f>COUNTIF(Perjantai!D:D,D19)+COUNTIF(Lauantai!D:D,D19)</f>
        <v>10</v>
      </c>
      <c r="H19" s="30">
        <f>COUNTIF(Lauantai!D:D,D19)</f>
        <v>6</v>
      </c>
      <c r="I19" s="19">
        <f>COUNTIFS(Perjantai!D:D,D19,Perjantai!C:C,1)+COUNTIFS(Lauantai!D:D,D19,Lauantai!C:C,1)</f>
        <v>2</v>
      </c>
      <c r="J19" s="33">
        <f t="shared" si="0"/>
        <v>0.2</v>
      </c>
      <c r="K19" s="19">
        <f>COUNTIFS(Perjantai!D:D,D19,Perjantai!H:H,"&gt;0")+COUNTIFS(Lauantai!D:D,D19,Lauantai!H:H,"&gt;0")</f>
        <v>5</v>
      </c>
      <c r="L19" s="33">
        <f t="shared" si="1"/>
        <v>0.5</v>
      </c>
      <c r="M19" s="19">
        <f>COUNTIFS(Perjantai!D:D,D19,Perjantai!H:H,"&lt;0")+COUNTIFS(Lauantai!D:D,D19,Lauantai!H:H,"&lt;0")</f>
        <v>5</v>
      </c>
      <c r="N19" s="33">
        <f t="shared" si="2"/>
        <v>0.5</v>
      </c>
      <c r="O19" s="36">
        <f>COUNTIFS(Perjantai!D:D,D19,Perjantai!C:C,0)+COUNTIFS(Lauantai!D:D,D19,Lauantai!C:C,0)</f>
        <v>2</v>
      </c>
      <c r="P19" s="33">
        <f t="shared" si="3"/>
        <v>0.2</v>
      </c>
      <c r="Q19" s="13">
        <f>SUMIF(Perjantai!D:D,Turnaus!D19,Perjantai!F:F)+SUMIF(Lauantai!D:D,Turnaus!D19,Lauantai!F:F)</f>
        <v>311</v>
      </c>
      <c r="R19" s="12"/>
      <c r="T19" s="12"/>
      <c r="V19" s="12"/>
    </row>
    <row r="20" spans="1:22" s="11" customFormat="1" x14ac:dyDescent="0.2">
      <c r="B20" s="19">
        <v>7</v>
      </c>
      <c r="C20" s="20">
        <v>-4</v>
      </c>
      <c r="D20" s="11" t="s">
        <v>5</v>
      </c>
      <c r="E20" s="25">
        <f>SUMIF(Perjantai!D:D,Turnaus!D20,Perjantai!H:H)+SUMIF(Lauantai!D:D,Turnaus!D20,Lauantai!H:H)</f>
        <v>-1.3000000000000007</v>
      </c>
      <c r="F20" s="26">
        <f>SUMIF(Lauantai!D:D,Turnaus!D20,Lauantai!H:H)</f>
        <v>-1.4000000000000004</v>
      </c>
      <c r="G20" s="19">
        <f>COUNTIF(Perjantai!D:D,D20)+COUNTIF(Lauantai!D:D,D20)</f>
        <v>10</v>
      </c>
      <c r="H20" s="30">
        <f>COUNTIF(Lauantai!D:D,D20)</f>
        <v>6</v>
      </c>
      <c r="I20" s="19">
        <f>COUNTIFS(Perjantai!D:D,D20,Perjantai!C:C,1)+COUNTIFS(Lauantai!D:D,D20,Lauantai!C:C,1)</f>
        <v>3</v>
      </c>
      <c r="J20" s="33">
        <f t="shared" si="0"/>
        <v>0.3</v>
      </c>
      <c r="K20" s="19">
        <f>COUNTIFS(Perjantai!D:D,D20,Perjantai!H:H,"&gt;0")+COUNTIFS(Lauantai!D:D,D20,Lauantai!H:H,"&gt;0")</f>
        <v>4</v>
      </c>
      <c r="L20" s="33">
        <f t="shared" si="1"/>
        <v>0.4</v>
      </c>
      <c r="M20" s="19">
        <f>COUNTIFS(Perjantai!D:D,D20,Perjantai!H:H,"&lt;0")+COUNTIFS(Lauantai!D:D,D20,Lauantai!H:H,"&lt;0")</f>
        <v>6</v>
      </c>
      <c r="N20" s="33">
        <f t="shared" si="2"/>
        <v>0.6</v>
      </c>
      <c r="O20" s="36">
        <f>COUNTIFS(Perjantai!D:D,D20,Perjantai!C:C,0)+COUNTIFS(Lauantai!D:D,D20,Lauantai!C:C,0)</f>
        <v>2</v>
      </c>
      <c r="P20" s="33">
        <f t="shared" si="3"/>
        <v>0.2</v>
      </c>
      <c r="Q20" s="13">
        <f>SUMIF(Perjantai!D:D,Turnaus!D20,Perjantai!F:F)+SUMIF(Lauantai!D:D,Turnaus!D20,Lauantai!F:F)</f>
        <v>210</v>
      </c>
      <c r="R20" s="12"/>
      <c r="T20" s="12"/>
      <c r="V20" s="12"/>
    </row>
    <row r="21" spans="1:22" s="11" customFormat="1" x14ac:dyDescent="0.2">
      <c r="B21" s="19">
        <v>8</v>
      </c>
      <c r="C21" s="20"/>
      <c r="D21" s="11" t="s">
        <v>62</v>
      </c>
      <c r="E21" s="25">
        <f>SUMIF(Perjantai!D:D,Turnaus!D21,Perjantai!H:H)+SUMIF(Lauantai!D:D,Turnaus!D21,Lauantai!H:H)</f>
        <v>-2.9000000000000004</v>
      </c>
      <c r="F21" s="26">
        <f>SUMIF(Lauantai!D:D,Turnaus!D21,Lauantai!H:H)</f>
        <v>-2.9000000000000004</v>
      </c>
      <c r="G21" s="19">
        <f>COUNTIF(Perjantai!D:D,D21)+COUNTIF(Lauantai!D:D,D21)</f>
        <v>4</v>
      </c>
      <c r="H21" s="30">
        <f>COUNTIF(Lauantai!D:D,D21)</f>
        <v>4</v>
      </c>
      <c r="I21" s="19">
        <f>COUNTIFS(Perjantai!D:D,D21,Perjantai!C:C,1)+COUNTIFS(Lauantai!D:D,D21,Lauantai!C:C,1)</f>
        <v>0</v>
      </c>
      <c r="J21" s="33">
        <f t="shared" ref="J21" si="4">I21/$G21</f>
        <v>0</v>
      </c>
      <c r="K21" s="19">
        <f>COUNTIFS(Perjantai!D:D,D21,Perjantai!H:H,"&gt;0")+COUNTIFS(Lauantai!D:D,D21,Lauantai!H:H,"&gt;0")</f>
        <v>1</v>
      </c>
      <c r="L21" s="33">
        <f t="shared" ref="L21" si="5">K21/$G21</f>
        <v>0.25</v>
      </c>
      <c r="M21" s="19">
        <f>COUNTIFS(Perjantai!D:D,D21,Perjantai!H:H,"&lt;0")+COUNTIFS(Lauantai!D:D,D21,Lauantai!H:H,"&lt;0")</f>
        <v>3</v>
      </c>
      <c r="N21" s="33">
        <f t="shared" ref="N21" si="6">M21/$G21</f>
        <v>0.75</v>
      </c>
      <c r="O21" s="36">
        <f>COUNTIFS(Perjantai!D:D,D21,Perjantai!C:C,0)+COUNTIFS(Lauantai!D:D,D21,Lauantai!C:C,0)</f>
        <v>2</v>
      </c>
      <c r="P21" s="33">
        <f t="shared" ref="P21" si="7">O21/$G21</f>
        <v>0.5</v>
      </c>
      <c r="Q21" s="13">
        <f>SUMIF(Perjantai!D:D,Turnaus!D21,Perjantai!F:F)+SUMIF(Lauantai!D:D,Turnaus!D21,Lauantai!F:F)</f>
        <v>546</v>
      </c>
      <c r="R21" s="12"/>
      <c r="T21" s="12"/>
      <c r="V21" s="12"/>
    </row>
    <row r="22" spans="1:22" s="11" customFormat="1" x14ac:dyDescent="0.2">
      <c r="B22" s="19">
        <v>9</v>
      </c>
      <c r="C22" s="20"/>
      <c r="D22" s="11" t="s">
        <v>38</v>
      </c>
      <c r="E22" s="25">
        <f>SUMIF(Perjantai!D:D,Turnaus!D22,Perjantai!H:H)+SUMIF(Lauantai!D:D,Turnaus!D22,Lauantai!H:H)</f>
        <v>-3.592857142857143</v>
      </c>
      <c r="F22" s="26">
        <f>SUMIF(Lauantai!D:D,Turnaus!D22,Lauantai!H:H)</f>
        <v>-3.592857142857143</v>
      </c>
      <c r="G22" s="19">
        <f>COUNTIF(Perjantai!D:D,D22)+COUNTIF(Lauantai!D:D,D22)</f>
        <v>5</v>
      </c>
      <c r="H22" s="30">
        <f>COUNTIF(Lauantai!D:D,D22)</f>
        <v>5</v>
      </c>
      <c r="I22" s="19">
        <f>COUNTIFS(Perjantai!D:D,D22,Perjantai!C:C,1)+COUNTIFS(Lauantai!D:D,D22,Lauantai!C:C,1)</f>
        <v>0</v>
      </c>
      <c r="J22" s="33">
        <f t="shared" si="0"/>
        <v>0</v>
      </c>
      <c r="K22" s="19">
        <f>COUNTIFS(Perjantai!D:D,D22,Perjantai!H:H,"&gt;0")+COUNTIFS(Lauantai!D:D,D22,Lauantai!H:H,"&gt;0")</f>
        <v>1</v>
      </c>
      <c r="L22" s="33">
        <f t="shared" si="1"/>
        <v>0.2</v>
      </c>
      <c r="M22" s="19">
        <f>COUNTIFS(Perjantai!D:D,D22,Perjantai!H:H,"&lt;0")+COUNTIFS(Lauantai!D:D,D22,Lauantai!H:H,"&lt;0")</f>
        <v>4</v>
      </c>
      <c r="N22" s="33">
        <f t="shared" si="2"/>
        <v>0.8</v>
      </c>
      <c r="O22" s="36">
        <f>COUNTIFS(Perjantai!D:D,D22,Perjantai!C:C,0)+COUNTIFS(Lauantai!D:D,D22,Lauantai!C:C,0)</f>
        <v>1</v>
      </c>
      <c r="P22" s="33">
        <f t="shared" si="3"/>
        <v>0.2</v>
      </c>
      <c r="Q22" s="13">
        <f>SUMIF(Perjantai!D:D,Turnaus!D22,Perjantai!F:F)+SUMIF(Lauantai!D:D,Turnaus!D22,Lauantai!F:F)</f>
        <v>273</v>
      </c>
      <c r="R22" s="12"/>
      <c r="T22" s="12"/>
      <c r="V22" s="12"/>
    </row>
    <row r="23" spans="1:22" s="14" customFormat="1" x14ac:dyDescent="0.2">
      <c r="B23" s="21">
        <v>10</v>
      </c>
      <c r="C23" s="22">
        <v>-9</v>
      </c>
      <c r="D23" s="14" t="s">
        <v>44</v>
      </c>
      <c r="E23" s="27">
        <f>SUMIF(Perjantai!D:D,Turnaus!D23,Perjantai!H:H)+SUMIF(Lauantai!D:D,Turnaus!D23,Lauantai!H:H)</f>
        <v>-4.6428571428571441</v>
      </c>
      <c r="F23" s="28">
        <f>SUMIF(Lauantai!D:D,Turnaus!D23,Lauantai!H:H)</f>
        <v>-7.7428571428571438</v>
      </c>
      <c r="G23" s="21">
        <f>COUNTIF(Perjantai!D:D,D23)+COUNTIF(Lauantai!D:D,D23)</f>
        <v>12</v>
      </c>
      <c r="H23" s="31">
        <f>COUNTIF(Lauantai!D:D,D23)</f>
        <v>8</v>
      </c>
      <c r="I23" s="21">
        <f>COUNTIFS(Perjantai!D:D,D23,Perjantai!C:C,1)+COUNTIFS(Lauantai!D:D,D23,Lauantai!C:C,1)</f>
        <v>2</v>
      </c>
      <c r="J23" s="34">
        <f t="shared" si="0"/>
        <v>0.16666666666666666</v>
      </c>
      <c r="K23" s="21">
        <f>COUNTIFS(Perjantai!D:D,D23,Perjantai!H:H,"&gt;0")+COUNTIFS(Lauantai!D:D,D23,Lauantai!H:H,"&gt;0")</f>
        <v>5</v>
      </c>
      <c r="L23" s="34">
        <f t="shared" si="1"/>
        <v>0.41666666666666669</v>
      </c>
      <c r="M23" s="21">
        <f>COUNTIFS(Perjantai!D:D,D23,Perjantai!H:H,"&lt;0")+COUNTIFS(Lauantai!D:D,D23,Lauantai!H:H,"&lt;0")</f>
        <v>7</v>
      </c>
      <c r="N23" s="34">
        <f t="shared" si="2"/>
        <v>0.58333333333333337</v>
      </c>
      <c r="O23" s="37">
        <f>COUNTIFS(Perjantai!D:D,D23,Perjantai!C:C,0)+COUNTIFS(Lauantai!D:D,D23,Lauantai!C:C,0)</f>
        <v>3</v>
      </c>
      <c r="P23" s="34">
        <f t="shared" si="3"/>
        <v>0.25</v>
      </c>
      <c r="Q23" s="16">
        <f>SUMIF(Perjantai!D:D,Turnaus!D23,Perjantai!F:F)+SUMIF(Lauantai!D:D,Turnaus!D23,Lauantai!F:F)</f>
        <v>723</v>
      </c>
      <c r="R23" s="15"/>
      <c r="T23" s="15"/>
      <c r="V23" s="15"/>
    </row>
    <row r="25" spans="1:22" s="8" customFormat="1" x14ac:dyDescent="0.2">
      <c r="A25" s="7" t="s">
        <v>25</v>
      </c>
      <c r="B25" s="17">
        <v>1</v>
      </c>
      <c r="C25" s="18">
        <v>0</v>
      </c>
      <c r="D25" s="8" t="s">
        <v>13</v>
      </c>
      <c r="E25" s="23">
        <f>SUMIF(Perjantai!D:D,Turnaus!D25,Perjantai!H:H)+SUMIF(Lauantai!D:D,Turnaus!D25,Lauantai!H:H)+SUMIF(Sunnuntai!D:D,Turnaus!D25,Sunnuntai!H:H)</f>
        <v>8.9738095238095212</v>
      </c>
      <c r="F25" s="24">
        <f>SUMIF(Sunnuntai!D:D,Turnaus!D25,Sunnuntai!H:H)</f>
        <v>1.6666666666666667</v>
      </c>
      <c r="G25" s="17">
        <f>COUNTIF(Perjantai!D:D,D25)+COUNTIF(Lauantai!D:D,D25)+COUNTIF(Sunnuntai!D:D,D25)</f>
        <v>13</v>
      </c>
      <c r="H25" s="29">
        <f>COUNTIF(Sunnuntai!D:D,D25)</f>
        <v>1</v>
      </c>
      <c r="I25" s="17">
        <f>COUNTIFS(Perjantai!D:D,D25,Perjantai!C:C,1)+COUNTIFS(Lauantai!D:D,D25,Lauantai!C:C,1)+COUNTIFS(Sunnuntai!D:D,D25,Sunnuntai!C:C,1)</f>
        <v>4</v>
      </c>
      <c r="J25" s="32">
        <f t="shared" ref="J25:J34" si="8">I25/$G25</f>
        <v>0.30769230769230771</v>
      </c>
      <c r="K25" s="17">
        <f>COUNTIFS(Perjantai!D:D,D25,Perjantai!H:H,"&gt;0")+COUNTIFS(Lauantai!D:D,D25,Lauantai!H:H,"&gt;0")+COUNTIFS(Sunnuntai!D:D,D25,Sunnuntai!H:H,"&gt;0")</f>
        <v>8</v>
      </c>
      <c r="L25" s="32">
        <f t="shared" ref="L25:L34" si="9">K25/$G25</f>
        <v>0.61538461538461542</v>
      </c>
      <c r="M25" s="17">
        <f>COUNTIFS(Perjantai!D:D,D25,Perjantai!H:H,"&lt;0")+COUNTIFS(Lauantai!D:D,D25,Lauantai!H:H,"&lt;0")+COUNTIFS(Sunnuntai!D:D,D25,Sunnuntai!H:H,"&lt;0")</f>
        <v>5</v>
      </c>
      <c r="N25" s="32">
        <f t="shared" ref="N25:N34" si="10">M25/$G25</f>
        <v>0.38461538461538464</v>
      </c>
      <c r="O25" s="35">
        <f>COUNTIFS(Perjantai!D:D,D25,Perjantai!C:C,0)+COUNTIFS(Lauantai!D:D,D25,Lauantai!C:C,0)+COUNTIFS(Sunnuntai!D:D,D25,Sunnuntai!C:C,0)</f>
        <v>1</v>
      </c>
      <c r="P25" s="32">
        <f t="shared" ref="P25:P34" si="11">O25/$G25</f>
        <v>7.6923076923076927E-2</v>
      </c>
      <c r="Q25" s="10">
        <f>SUMIF(Perjantai!D:D,Turnaus!D25,Perjantai!F:F)+SUMIF(Lauantai!D:D,Turnaus!D25,Lauantai!F:F)+SUMIF(Sunnuntai!D:D,Turnaus!D25,Sunnuntai!F:F)</f>
        <v>713</v>
      </c>
      <c r="R25" s="9"/>
      <c r="T25" s="9"/>
      <c r="V25" s="9"/>
    </row>
    <row r="26" spans="1:22" s="11" customFormat="1" x14ac:dyDescent="0.2">
      <c r="A26" s="11" t="s">
        <v>23</v>
      </c>
      <c r="B26" s="19">
        <v>2</v>
      </c>
      <c r="C26" s="20">
        <v>0</v>
      </c>
      <c r="D26" s="11" t="s">
        <v>52</v>
      </c>
      <c r="E26" s="25">
        <f>SUMIF(Perjantai!D:D,Turnaus!D26,Perjantai!H:H)+SUMIF(Lauantai!D:D,Turnaus!D26,Lauantai!H:H)+SUMIF(Sunnuntai!D:D,Turnaus!D26,Sunnuntai!H:H)</f>
        <v>4.9571428571428573</v>
      </c>
      <c r="F26" s="26"/>
      <c r="G26" s="19">
        <f>COUNTIF(Perjantai!D:D,D26)+COUNTIF(Lauantai!D:D,D26)+COUNTIF(Sunnuntai!D:D,D26)</f>
        <v>5</v>
      </c>
      <c r="H26" s="30"/>
      <c r="I26" s="19">
        <f>COUNTIFS(Perjantai!D:D,D26,Perjantai!C:C,1)+COUNTIFS(Lauantai!D:D,D26,Lauantai!C:C,1)+COUNTIFS(Sunnuntai!D:D,D26,Sunnuntai!C:C,1)</f>
        <v>2</v>
      </c>
      <c r="J26" s="33">
        <f t="shared" si="8"/>
        <v>0.4</v>
      </c>
      <c r="K26" s="19">
        <f>COUNTIFS(Perjantai!D:D,D26,Perjantai!H:H,"&gt;0")+COUNTIFS(Lauantai!D:D,D26,Lauantai!H:H,"&gt;0")+COUNTIFS(Sunnuntai!D:D,D26,Sunnuntai!H:H,"&gt;0")</f>
        <v>3</v>
      </c>
      <c r="L26" s="33">
        <f t="shared" si="9"/>
        <v>0.6</v>
      </c>
      <c r="M26" s="19">
        <f>COUNTIFS(Perjantai!D:D,D26,Perjantai!H:H,"&lt;0")+COUNTIFS(Lauantai!D:D,D26,Lauantai!H:H,"&lt;0")+COUNTIFS(Sunnuntai!D:D,D26,Sunnuntai!H:H,"&lt;0")</f>
        <v>2</v>
      </c>
      <c r="N26" s="33">
        <f t="shared" si="10"/>
        <v>0.4</v>
      </c>
      <c r="O26" s="36">
        <f>COUNTIFS(Perjantai!D:D,D26,Perjantai!C:C,0)+COUNTIFS(Lauantai!D:D,D26,Lauantai!C:C,0)+COUNTIFS(Sunnuntai!D:D,D26,Sunnuntai!C:C,0)</f>
        <v>0</v>
      </c>
      <c r="P26" s="33">
        <f t="shared" si="11"/>
        <v>0</v>
      </c>
      <c r="Q26" s="38">
        <f>SUMIF(Perjantai!D:D,Turnaus!D26,Perjantai!F:F)+SUMIF(Lauantai!D:D,Turnaus!D26,Lauantai!F:F)+SUMIF(Sunnuntai!D:D,Turnaus!D26,Sunnuntai!F:F)</f>
        <v>1301</v>
      </c>
      <c r="R26" s="12"/>
      <c r="T26" s="12"/>
      <c r="V26" s="12"/>
    </row>
    <row r="27" spans="1:22" s="11" customFormat="1" x14ac:dyDescent="0.2">
      <c r="B27" s="19">
        <v>3</v>
      </c>
      <c r="C27" s="20">
        <v>0</v>
      </c>
      <c r="D27" s="11" t="s">
        <v>4</v>
      </c>
      <c r="E27" s="25">
        <f>SUMIF(Perjantai!D:D,Turnaus!D27,Perjantai!H:H)+SUMIF(Lauantai!D:D,Turnaus!D27,Lauantai!H:H)+SUMIF(Sunnuntai!D:D,Turnaus!D27,Sunnuntai!H:H)</f>
        <v>4.6571428571428557</v>
      </c>
      <c r="F27" s="26">
        <f>SUMIF(Sunnuntai!D:D,Turnaus!D27,Sunnuntai!H:H)</f>
        <v>2.8</v>
      </c>
      <c r="G27" s="19">
        <f>COUNTIF(Perjantai!D:D,D27)+COUNTIF(Lauantai!D:D,D27)+COUNTIF(Sunnuntai!D:D,D27)</f>
        <v>11</v>
      </c>
      <c r="H27" s="30">
        <f>COUNTIF(Sunnuntai!D:D,D27)</f>
        <v>1</v>
      </c>
      <c r="I27" s="19">
        <f>COUNTIFS(Perjantai!D:D,D27,Perjantai!C:C,1)+COUNTIFS(Lauantai!D:D,D27,Lauantai!C:C,1)+COUNTIFS(Sunnuntai!D:D,D27,Sunnuntai!C:C,1)</f>
        <v>3</v>
      </c>
      <c r="J27" s="33">
        <f t="shared" si="8"/>
        <v>0.27272727272727271</v>
      </c>
      <c r="K27" s="19">
        <f>COUNTIFS(Perjantai!D:D,D27,Perjantai!H:H,"&gt;0")+COUNTIFS(Lauantai!D:D,D27,Lauantai!H:H,"&gt;0")+COUNTIFS(Sunnuntai!D:D,D27,Sunnuntai!H:H,"&gt;0")</f>
        <v>5</v>
      </c>
      <c r="L27" s="33">
        <f t="shared" si="9"/>
        <v>0.45454545454545453</v>
      </c>
      <c r="M27" s="19">
        <f>COUNTIFS(Perjantai!D:D,D27,Perjantai!H:H,"&lt;0")+COUNTIFS(Lauantai!D:D,D27,Lauantai!H:H,"&lt;0")+COUNTIFS(Sunnuntai!D:D,D27,Sunnuntai!H:H,"&lt;0")</f>
        <v>6</v>
      </c>
      <c r="N27" s="33">
        <f t="shared" si="10"/>
        <v>0.54545454545454541</v>
      </c>
      <c r="O27" s="36">
        <f>COUNTIFS(Perjantai!D:D,D27,Perjantai!C:C,0)+COUNTIFS(Lauantai!D:D,D27,Lauantai!C:C,0)+COUNTIFS(Sunnuntai!D:D,D27,Sunnuntai!C:C,0)</f>
        <v>2</v>
      </c>
      <c r="P27" s="33">
        <f t="shared" si="11"/>
        <v>0.18181818181818182</v>
      </c>
      <c r="Q27" s="13">
        <f>SUMIF(Perjantai!D:D,Turnaus!D27,Perjantai!F:F)+SUMIF(Lauantai!D:D,Turnaus!D27,Lauantai!F:F)+SUMIF(Sunnuntai!D:D,Turnaus!D27,Sunnuntai!F:F)</f>
        <v>1200</v>
      </c>
      <c r="R27" s="12"/>
      <c r="T27" s="12"/>
      <c r="V27" s="12"/>
    </row>
    <row r="28" spans="1:22" s="11" customFormat="1" x14ac:dyDescent="0.2">
      <c r="B28" s="19">
        <v>4</v>
      </c>
      <c r="C28" s="20">
        <v>2</v>
      </c>
      <c r="D28" s="11" t="s">
        <v>34</v>
      </c>
      <c r="E28" s="25">
        <f>SUMIF(Perjantai!D:D,Turnaus!D28,Perjantai!H:H)+SUMIF(Lauantai!D:D,Turnaus!D28,Lauantai!H:H)+SUMIF(Sunnuntai!D:D,Turnaus!D28,Sunnuntai!H:H)</f>
        <v>0.10714285714285587</v>
      </c>
      <c r="F28" s="26">
        <f>SUMIF(Sunnuntai!D:D,Turnaus!D28,Sunnuntai!H:H)</f>
        <v>0.79999999999999982</v>
      </c>
      <c r="G28" s="19">
        <f>COUNTIF(Perjantai!D:D,D28)+COUNTIF(Lauantai!D:D,D28)+COUNTIF(Sunnuntai!D:D,D28)</f>
        <v>11</v>
      </c>
      <c r="H28" s="30">
        <f>COUNTIF(Sunnuntai!D:D,D28)</f>
        <v>1</v>
      </c>
      <c r="I28" s="19">
        <f>COUNTIFS(Perjantai!D:D,D28,Perjantai!C:C,1)+COUNTIFS(Lauantai!D:D,D28,Lauantai!C:C,1)+COUNTIFS(Sunnuntai!D:D,D28,Sunnuntai!C:C,1)</f>
        <v>2</v>
      </c>
      <c r="J28" s="33">
        <f t="shared" si="8"/>
        <v>0.18181818181818182</v>
      </c>
      <c r="K28" s="19">
        <f>COUNTIFS(Perjantai!D:D,D28,Perjantai!H:H,"&gt;0")+COUNTIFS(Lauantai!D:D,D28,Lauantai!H:H,"&gt;0")+COUNTIFS(Sunnuntai!D:D,D28,Sunnuntai!H:H,"&gt;0")</f>
        <v>6</v>
      </c>
      <c r="L28" s="33">
        <f t="shared" si="9"/>
        <v>0.54545454545454541</v>
      </c>
      <c r="M28" s="19">
        <f>COUNTIFS(Perjantai!D:D,D28,Perjantai!H:H,"&lt;0")+COUNTIFS(Lauantai!D:D,D28,Lauantai!H:H,"&lt;0")+COUNTIFS(Sunnuntai!D:D,D28,Sunnuntai!H:H,"&lt;0")</f>
        <v>5</v>
      </c>
      <c r="N28" s="33">
        <f t="shared" si="10"/>
        <v>0.45454545454545453</v>
      </c>
      <c r="O28" s="36">
        <f>COUNTIFS(Perjantai!D:D,D28,Perjantai!C:C,0)+COUNTIFS(Lauantai!D:D,D28,Lauantai!C:C,0)+COUNTIFS(Sunnuntai!D:D,D28,Sunnuntai!C:C,0)</f>
        <v>2</v>
      </c>
      <c r="P28" s="33">
        <f t="shared" si="11"/>
        <v>0.18181818181818182</v>
      </c>
      <c r="Q28" s="13">
        <f>SUMIF(Perjantai!D:D,Turnaus!D28,Perjantai!F:F)+SUMIF(Lauantai!D:D,Turnaus!D28,Lauantai!F:F)+SUMIF(Sunnuntai!D:D,Turnaus!D28,Sunnuntai!F:F)</f>
        <v>371</v>
      </c>
      <c r="R28" s="12"/>
      <c r="T28" s="12"/>
      <c r="V28" s="12"/>
    </row>
    <row r="29" spans="1:22" s="11" customFormat="1" x14ac:dyDescent="0.2">
      <c r="B29" s="19">
        <v>5</v>
      </c>
      <c r="C29" s="20">
        <v>-1</v>
      </c>
      <c r="D29" s="11" t="s">
        <v>12</v>
      </c>
      <c r="E29" s="25">
        <f>SUMIF(Perjantai!D:D,Turnaus!D29,Perjantai!H:H)+SUMIF(Lauantai!D:D,Turnaus!D29,Lauantai!H:H)+SUMIF(Sunnuntai!D:D,Turnaus!D29,Sunnuntai!H:H)</f>
        <v>-0.34285714285714342</v>
      </c>
      <c r="F29" s="26"/>
      <c r="G29" s="19">
        <f>COUNTIF(Perjantai!D:D,D29)+COUNTIF(Lauantai!D:D,D29)+COUNTIF(Sunnuntai!D:D,D29)</f>
        <v>6</v>
      </c>
      <c r="H29" s="30">
        <f>COUNTIF(Sunnuntai!D:D,D29)</f>
        <v>0</v>
      </c>
      <c r="I29" s="19">
        <f>COUNTIFS(Perjantai!D:D,D29,Perjantai!C:C,1)+COUNTIFS(Lauantai!D:D,D29,Lauantai!C:C,1)+COUNTIFS(Sunnuntai!D:D,D29,Sunnuntai!C:C,1)</f>
        <v>2</v>
      </c>
      <c r="J29" s="33">
        <f t="shared" si="8"/>
        <v>0.33333333333333331</v>
      </c>
      <c r="K29" s="19">
        <f>COUNTIFS(Perjantai!D:D,D29,Perjantai!H:H,"&gt;0")+COUNTIFS(Lauantai!D:D,D29,Lauantai!H:H,"&gt;0")+COUNTIFS(Sunnuntai!D:D,D29,Sunnuntai!H:H,"&gt;0")</f>
        <v>3</v>
      </c>
      <c r="L29" s="33">
        <f t="shared" si="9"/>
        <v>0.5</v>
      </c>
      <c r="M29" s="19">
        <f>COUNTIFS(Perjantai!D:D,D29,Perjantai!H:H,"&lt;0")+COUNTIFS(Lauantai!D:D,D29,Lauantai!H:H,"&lt;0")+COUNTIFS(Sunnuntai!D:D,D29,Sunnuntai!H:H,"&lt;0")</f>
        <v>3</v>
      </c>
      <c r="N29" s="33">
        <f t="shared" si="10"/>
        <v>0.5</v>
      </c>
      <c r="O29" s="36">
        <f>COUNTIFS(Perjantai!D:D,D29,Perjantai!C:C,0)+COUNTIFS(Lauantai!D:D,D29,Lauantai!C:C,0)+COUNTIFS(Sunnuntai!D:D,D29,Sunnuntai!C:C,0)</f>
        <v>3</v>
      </c>
      <c r="P29" s="33">
        <f t="shared" si="11"/>
        <v>0.5</v>
      </c>
      <c r="Q29" s="13">
        <f>SUMIF(Perjantai!D:D,Turnaus!D29,Perjantai!F:F)+SUMIF(Lauantai!D:D,Turnaus!D29,Lauantai!F:F)+SUMIF(Sunnuntai!D:D,Turnaus!D29,Sunnuntai!F:F)</f>
        <v>296</v>
      </c>
      <c r="R29" s="12"/>
      <c r="T29" s="12"/>
      <c r="V29" s="12"/>
    </row>
    <row r="30" spans="1:22" s="11" customFormat="1" x14ac:dyDescent="0.2">
      <c r="B30" s="19">
        <v>6</v>
      </c>
      <c r="C30" s="20">
        <v>-1</v>
      </c>
      <c r="D30" s="11" t="s">
        <v>14</v>
      </c>
      <c r="E30" s="25">
        <f>SUMIF(Perjantai!D:D,Turnaus!D30,Perjantai!H:H)+SUMIF(Lauantai!D:D,Turnaus!D30,Lauantai!H:H)+SUMIF(Sunnuntai!D:D,Turnaus!D30,Sunnuntai!H:H)</f>
        <v>-0.65000000000000036</v>
      </c>
      <c r="F30" s="26"/>
      <c r="G30" s="19">
        <f>COUNTIF(Perjantai!D:D,D30)+COUNTIF(Lauantai!D:D,D30)+COUNTIF(Sunnuntai!D:D,D30)</f>
        <v>3</v>
      </c>
      <c r="H30" s="30"/>
      <c r="I30" s="19">
        <f>COUNTIFS(Perjantai!D:D,D30,Perjantai!C:C,1)+COUNTIFS(Lauantai!D:D,D30,Lauantai!C:C,1)+COUNTIFS(Sunnuntai!D:D,D30,Sunnuntai!C:C,1)</f>
        <v>1</v>
      </c>
      <c r="J30" s="33">
        <f t="shared" si="8"/>
        <v>0.33333333333333331</v>
      </c>
      <c r="K30" s="19">
        <f>COUNTIFS(Perjantai!D:D,D30,Perjantai!H:H,"&gt;0")+COUNTIFS(Lauantai!D:D,D30,Lauantai!H:H,"&gt;0")+COUNTIFS(Sunnuntai!D:D,D30,Sunnuntai!H:H,"&gt;0")</f>
        <v>1</v>
      </c>
      <c r="L30" s="33">
        <f t="shared" si="9"/>
        <v>0.33333333333333331</v>
      </c>
      <c r="M30" s="19">
        <f>COUNTIFS(Perjantai!D:D,D30,Perjantai!H:H,"&lt;0")+COUNTIFS(Lauantai!D:D,D30,Lauantai!H:H,"&lt;0")+COUNTIFS(Sunnuntai!D:D,D30,Sunnuntai!H:H,"&lt;0")</f>
        <v>2</v>
      </c>
      <c r="N30" s="33">
        <f t="shared" si="10"/>
        <v>0.66666666666666663</v>
      </c>
      <c r="O30" s="36">
        <f>COUNTIFS(Perjantai!D:D,D30,Perjantai!C:C,0)+COUNTIFS(Lauantai!D:D,D30,Lauantai!C:C,0)+COUNTIFS(Sunnuntai!D:D,D30,Sunnuntai!C:C,0)</f>
        <v>1</v>
      </c>
      <c r="P30" s="33">
        <f t="shared" si="11"/>
        <v>0.33333333333333331</v>
      </c>
      <c r="Q30" s="13">
        <f>SUMIF(Perjantai!D:D,Turnaus!D30,Perjantai!F:F)+SUMIF(Lauantai!D:D,Turnaus!D30,Lauantai!F:F)+SUMIF(Sunnuntai!D:D,Turnaus!D30,Sunnuntai!F:F)</f>
        <v>723</v>
      </c>
      <c r="R30" s="12"/>
      <c r="T30" s="12"/>
      <c r="V30" s="12"/>
    </row>
    <row r="31" spans="1:22" s="11" customFormat="1" x14ac:dyDescent="0.2">
      <c r="B31" s="19">
        <v>7</v>
      </c>
      <c r="C31" s="20">
        <v>1</v>
      </c>
      <c r="D31" s="11" t="s">
        <v>62</v>
      </c>
      <c r="E31" s="25">
        <f>SUMIF(Perjantai!D:D,Turnaus!D31,Perjantai!H:H)+SUMIF(Lauantai!D:D,Turnaus!D31,Lauantai!H:H)+SUMIF(Sunnuntai!D:D,Turnaus!D31,Sunnuntai!H:H)</f>
        <v>-2.9000000000000004</v>
      </c>
      <c r="F31" s="26"/>
      <c r="G31" s="19">
        <f>COUNTIF(Perjantai!D:D,D31)+COUNTIF(Lauantai!D:D,D31)+COUNTIF(Sunnuntai!D:D,D31)</f>
        <v>4</v>
      </c>
      <c r="H31" s="30"/>
      <c r="I31" s="19">
        <f>COUNTIFS(Perjantai!D:D,D31,Perjantai!C:C,1)+COUNTIFS(Lauantai!D:D,D31,Lauantai!C:C,1)+COUNTIFS(Sunnuntai!D:D,D31,Sunnuntai!C:C,1)</f>
        <v>0</v>
      </c>
      <c r="J31" s="33">
        <f t="shared" si="8"/>
        <v>0</v>
      </c>
      <c r="K31" s="19">
        <f>COUNTIFS(Perjantai!D:D,D31,Perjantai!H:H,"&gt;0")+COUNTIFS(Lauantai!D:D,D31,Lauantai!H:H,"&gt;0")+COUNTIFS(Sunnuntai!D:D,D31,Sunnuntai!H:H,"&gt;0")</f>
        <v>1</v>
      </c>
      <c r="L31" s="33">
        <f t="shared" si="9"/>
        <v>0.25</v>
      </c>
      <c r="M31" s="19">
        <f>COUNTIFS(Perjantai!D:D,D31,Perjantai!H:H,"&lt;0")+COUNTIFS(Lauantai!D:D,D31,Lauantai!H:H,"&lt;0")+COUNTIFS(Sunnuntai!D:D,D31,Sunnuntai!H:H,"&lt;0")</f>
        <v>3</v>
      </c>
      <c r="N31" s="33">
        <f t="shared" si="10"/>
        <v>0.75</v>
      </c>
      <c r="O31" s="36">
        <f>COUNTIFS(Perjantai!D:D,D31,Perjantai!C:C,0)+COUNTIFS(Lauantai!D:D,D31,Lauantai!C:C,0)+COUNTIFS(Sunnuntai!D:D,D31,Sunnuntai!C:C,0)</f>
        <v>2</v>
      </c>
      <c r="P31" s="33">
        <f t="shared" si="11"/>
        <v>0.5</v>
      </c>
      <c r="Q31" s="13">
        <f>SUMIF(Perjantai!D:D,Turnaus!D31,Perjantai!F:F)+SUMIF(Lauantai!D:D,Turnaus!D31,Lauantai!F:F)+SUMIF(Sunnuntai!D:D,Turnaus!D31,Sunnuntai!F:F)</f>
        <v>546</v>
      </c>
      <c r="R31" s="12"/>
      <c r="T31" s="12"/>
      <c r="V31" s="12"/>
    </row>
    <row r="32" spans="1:22" s="11" customFormat="1" x14ac:dyDescent="0.2">
      <c r="B32" s="19">
        <v>8</v>
      </c>
      <c r="C32" s="20">
        <v>-1</v>
      </c>
      <c r="D32" s="11" t="s">
        <v>5</v>
      </c>
      <c r="E32" s="25">
        <f>SUMIF(Perjantai!D:D,Turnaus!D32,Perjantai!H:H)+SUMIF(Lauantai!D:D,Turnaus!D32,Lauantai!H:H)+SUMIF(Sunnuntai!D:D,Turnaus!D32,Sunnuntai!H:H)</f>
        <v>-3.3333333333333339</v>
      </c>
      <c r="F32" s="26">
        <f>SUMIF(Sunnuntai!D:D,Turnaus!D32,Sunnuntai!H:H)</f>
        <v>-2.0333333333333332</v>
      </c>
      <c r="G32" s="19">
        <f>COUNTIF(Perjantai!D:D,D32)+COUNTIF(Lauantai!D:D,D32)+COUNTIF(Sunnuntai!D:D,D32)</f>
        <v>12</v>
      </c>
      <c r="H32" s="30">
        <f>COUNTIF(Sunnuntai!D:D,D32)</f>
        <v>2</v>
      </c>
      <c r="I32" s="19">
        <f>COUNTIFS(Perjantai!D:D,D32,Perjantai!C:C,1)+COUNTIFS(Lauantai!D:D,D32,Lauantai!C:C,1)+COUNTIFS(Sunnuntai!D:D,D32,Sunnuntai!C:C,1)</f>
        <v>3</v>
      </c>
      <c r="J32" s="33">
        <f t="shared" si="8"/>
        <v>0.25</v>
      </c>
      <c r="K32" s="19">
        <f>COUNTIFS(Perjantai!D:D,D32,Perjantai!H:H,"&gt;0")+COUNTIFS(Lauantai!D:D,D32,Lauantai!H:H,"&gt;0")+COUNTIFS(Sunnuntai!D:D,D32,Sunnuntai!H:H,"&gt;0")</f>
        <v>4</v>
      </c>
      <c r="L32" s="33">
        <f t="shared" si="9"/>
        <v>0.33333333333333331</v>
      </c>
      <c r="M32" s="19">
        <f>COUNTIFS(Perjantai!D:D,D32,Perjantai!H:H,"&lt;0")+COUNTIFS(Lauantai!D:D,D32,Lauantai!H:H,"&lt;0")+COUNTIFS(Sunnuntai!D:D,D32,Sunnuntai!H:H,"&lt;0")</f>
        <v>8</v>
      </c>
      <c r="N32" s="33">
        <f t="shared" si="10"/>
        <v>0.66666666666666663</v>
      </c>
      <c r="O32" s="36">
        <f>COUNTIFS(Perjantai!D:D,D32,Perjantai!C:C,0)+COUNTIFS(Lauantai!D:D,D32,Lauantai!C:C,0)+COUNTIFS(Sunnuntai!D:D,D32,Sunnuntai!C:C,0)</f>
        <v>2</v>
      </c>
      <c r="P32" s="33">
        <f t="shared" si="11"/>
        <v>0.16666666666666666</v>
      </c>
      <c r="Q32" s="13">
        <f>SUMIF(Perjantai!D:D,Turnaus!D32,Perjantai!F:F)+SUMIF(Lauantai!D:D,Turnaus!D32,Lauantai!F:F)+SUMIF(Sunnuntai!D:D,Turnaus!D32,Sunnuntai!F:F)</f>
        <v>283</v>
      </c>
      <c r="R32" s="12"/>
      <c r="T32" s="12"/>
      <c r="V32" s="12"/>
    </row>
    <row r="33" spans="2:22" s="11" customFormat="1" x14ac:dyDescent="0.2">
      <c r="B33" s="19">
        <v>9</v>
      </c>
      <c r="C33" s="20">
        <v>0</v>
      </c>
      <c r="D33" s="11" t="s">
        <v>38</v>
      </c>
      <c r="E33" s="25">
        <f>SUMIF(Perjantai!D:D,Turnaus!D33,Perjantai!H:H)+SUMIF(Lauantai!D:D,Turnaus!D33,Lauantai!H:H)+SUMIF(Sunnuntai!D:D,Turnaus!D33,Sunnuntai!H:H)</f>
        <v>-5.2928571428571427</v>
      </c>
      <c r="F33" s="26">
        <f>SUMIF(Sunnuntai!D:D,Turnaus!D33,Sunnuntai!H:H)</f>
        <v>-1.7000000000000002</v>
      </c>
      <c r="G33" s="19">
        <f>COUNTIF(Perjantai!D:D,D33)+COUNTIF(Lauantai!D:D,D33)+COUNTIF(Sunnuntai!D:D,D33)</f>
        <v>6</v>
      </c>
      <c r="H33" s="30"/>
      <c r="I33" s="19">
        <f>COUNTIFS(Perjantai!D:D,D33,Perjantai!C:C,1)+COUNTIFS(Lauantai!D:D,D33,Lauantai!C:C,1)+COUNTIFS(Sunnuntai!D:D,D33,Sunnuntai!C:C,1)</f>
        <v>0</v>
      </c>
      <c r="J33" s="33">
        <f t="shared" si="8"/>
        <v>0</v>
      </c>
      <c r="K33" s="19">
        <f>COUNTIFS(Perjantai!D:D,D33,Perjantai!H:H,"&gt;0")+COUNTIFS(Lauantai!D:D,D33,Lauantai!H:H,"&gt;0")+COUNTIFS(Sunnuntai!D:D,D33,Sunnuntai!H:H,"&gt;0")</f>
        <v>1</v>
      </c>
      <c r="L33" s="33">
        <f t="shared" si="9"/>
        <v>0.16666666666666666</v>
      </c>
      <c r="M33" s="19">
        <f>COUNTIFS(Perjantai!D:D,D33,Perjantai!H:H,"&lt;0")+COUNTIFS(Lauantai!D:D,D33,Lauantai!H:H,"&lt;0")+COUNTIFS(Sunnuntai!D:D,D33,Sunnuntai!H:H,"&lt;0")</f>
        <v>5</v>
      </c>
      <c r="N33" s="33">
        <f t="shared" si="10"/>
        <v>0.83333333333333337</v>
      </c>
      <c r="O33" s="36">
        <f>COUNTIFS(Perjantai!D:D,D33,Perjantai!C:C,0)+COUNTIFS(Lauantai!D:D,D33,Lauantai!C:C,0)+COUNTIFS(Sunnuntai!D:D,D33,Sunnuntai!C:C,0)</f>
        <v>2</v>
      </c>
      <c r="P33" s="33">
        <f t="shared" si="11"/>
        <v>0.33333333333333331</v>
      </c>
      <c r="Q33" s="13">
        <f>SUMIF(Perjantai!D:D,Turnaus!D33,Perjantai!F:F)+SUMIF(Lauantai!D:D,Turnaus!D33,Lauantai!F:F)+SUMIF(Sunnuntai!D:D,Turnaus!D33,Sunnuntai!F:F)</f>
        <v>315</v>
      </c>
      <c r="R33" s="12"/>
      <c r="T33" s="12"/>
      <c r="V33" s="12"/>
    </row>
    <row r="34" spans="2:22" s="14" customFormat="1" x14ac:dyDescent="0.2">
      <c r="B34" s="21">
        <v>10</v>
      </c>
      <c r="C34" s="22">
        <v>0</v>
      </c>
      <c r="D34" s="14" t="s">
        <v>44</v>
      </c>
      <c r="E34" s="27">
        <f>SUMIF(Perjantai!D:D,Turnaus!D34,Perjantai!H:H)+SUMIF(Lauantai!D:D,Turnaus!D34,Lauantai!H:H)+SUMIF(Sunnuntai!D:D,Turnaus!D34,Sunnuntai!H:H)</f>
        <v>-6.1761904761904773</v>
      </c>
      <c r="F34" s="28">
        <f>SUMIF(Sunnuntai!D:D,Turnaus!D34,Sunnuntai!H:H)</f>
        <v>-1.5333333333333334</v>
      </c>
      <c r="G34" s="21">
        <f>COUNTIF(Perjantai!D:D,D34)+COUNTIF(Lauantai!D:D,D34)+COUNTIF(Sunnuntai!D:D,D34)</f>
        <v>14</v>
      </c>
      <c r="H34" s="31">
        <f>COUNTIF(Sunnuntai!D:D,D34)</f>
        <v>2</v>
      </c>
      <c r="I34" s="21">
        <f>COUNTIFS(Perjantai!D:D,D34,Perjantai!C:C,1)+COUNTIFS(Lauantai!D:D,D34,Lauantai!C:C,1)+COUNTIFS(Sunnuntai!D:D,D34,Sunnuntai!C:C,1)</f>
        <v>2</v>
      </c>
      <c r="J34" s="34">
        <f t="shared" si="8"/>
        <v>0.14285714285714285</v>
      </c>
      <c r="K34" s="21">
        <f>COUNTIFS(Perjantai!D:D,D34,Perjantai!H:H,"&gt;0")+COUNTIFS(Lauantai!D:D,D34,Lauantai!H:H,"&gt;0")+COUNTIFS(Sunnuntai!D:D,D34,Sunnuntai!H:H,"&gt;0")</f>
        <v>5</v>
      </c>
      <c r="L34" s="34">
        <f t="shared" si="9"/>
        <v>0.35714285714285715</v>
      </c>
      <c r="M34" s="21">
        <f>COUNTIFS(Perjantai!D:D,D34,Perjantai!H:H,"&lt;0")+COUNTIFS(Lauantai!D:D,D34,Lauantai!H:H,"&lt;0")+COUNTIFS(Sunnuntai!D:D,D34,Sunnuntai!H:H,"&lt;0")</f>
        <v>9</v>
      </c>
      <c r="N34" s="34">
        <f t="shared" si="10"/>
        <v>0.6428571428571429</v>
      </c>
      <c r="O34" s="37">
        <f>COUNTIFS(Perjantai!D:D,D34,Perjantai!C:C,0)+COUNTIFS(Lauantai!D:D,D34,Lauantai!C:C,0)+COUNTIFS(Sunnuntai!D:D,D34,Sunnuntai!C:C,0)</f>
        <v>4</v>
      </c>
      <c r="P34" s="34">
        <f t="shared" si="11"/>
        <v>0.2857142857142857</v>
      </c>
      <c r="Q34" s="16">
        <f>SUMIF(Perjantai!D:D,Turnaus!D34,Perjantai!F:F)+SUMIF(Lauantai!D:D,Turnaus!D34,Lauantai!F:F)+SUMIF(Sunnuntai!D:D,Turnaus!D34,Sunnuntai!F:F)</f>
        <v>804</v>
      </c>
      <c r="R34" s="15"/>
      <c r="T34" s="15"/>
      <c r="V34" s="15"/>
    </row>
  </sheetData>
  <sortState ref="D8:E17">
    <sortCondition descending="1" ref="E8:E17"/>
  </sortState>
  <conditionalFormatting sqref="G5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{7D7E4B24-E819-4169-A502-857D62D52525}</x14:id>
        </ext>
      </extLst>
    </cfRule>
  </conditionalFormatting>
  <conditionalFormatting sqref="J5">
    <cfRule type="colorScale" priority="43">
      <colorScale>
        <cfvo type="min"/>
        <cfvo type="max"/>
        <color rgb="FFFCFCFF"/>
        <color rgb="FFFFC000"/>
      </colorScale>
    </cfRule>
  </conditionalFormatting>
  <conditionalFormatting sqref="L5">
    <cfRule type="colorScale" priority="41">
      <colorScale>
        <cfvo type="min"/>
        <cfvo type="max"/>
        <color rgb="FFFCFCFF"/>
        <color rgb="FF63BE7B"/>
      </colorScale>
    </cfRule>
  </conditionalFormatting>
  <conditionalFormatting sqref="N5">
    <cfRule type="colorScale" priority="40">
      <colorScale>
        <cfvo type="min"/>
        <cfvo type="max"/>
        <color rgb="FFFCFCFF"/>
        <color rgb="FFF8696B"/>
      </colorScale>
    </cfRule>
  </conditionalFormatting>
  <conditionalFormatting sqref="P5">
    <cfRule type="colorScale" priority="39">
      <colorScale>
        <cfvo type="min"/>
        <cfvo type="max"/>
        <color rgb="FFFCFCFF"/>
        <color rgb="FF663300"/>
      </colorScale>
    </cfRule>
  </conditionalFormatting>
  <conditionalFormatting sqref="G1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{DBFB9858-9F78-4950-BF8A-6BFDFE92BD2C}</x14:id>
        </ext>
      </extLst>
    </cfRule>
  </conditionalFormatting>
  <conditionalFormatting sqref="J10">
    <cfRule type="colorScale" priority="31">
      <colorScale>
        <cfvo type="min"/>
        <cfvo type="max"/>
        <color rgb="FFFCFCFF"/>
        <color rgb="FFFFC000"/>
      </colorScale>
    </cfRule>
  </conditionalFormatting>
  <conditionalFormatting sqref="L10">
    <cfRule type="colorScale" priority="29">
      <colorScale>
        <cfvo type="min"/>
        <cfvo type="max"/>
        <color rgb="FFFCFCFF"/>
        <color rgb="FF63BE7B"/>
      </colorScale>
    </cfRule>
  </conditionalFormatting>
  <conditionalFormatting sqref="N10">
    <cfRule type="colorScale" priority="28">
      <colorScale>
        <cfvo type="min"/>
        <cfvo type="max"/>
        <color rgb="FFFCFCFF"/>
        <color rgb="FFF8696B"/>
      </colorScale>
    </cfRule>
  </conditionalFormatting>
  <conditionalFormatting sqref="P10">
    <cfRule type="colorScale" priority="27">
      <colorScale>
        <cfvo type="min"/>
        <cfvo type="max"/>
        <color rgb="FFFCFCFF"/>
        <color rgb="FF663300"/>
      </colorScale>
    </cfRule>
  </conditionalFormatting>
  <conditionalFormatting sqref="G2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{98C6A77B-1247-4ABA-9942-1F325E5A4687}</x14:id>
        </ext>
      </extLst>
    </cfRule>
  </conditionalFormatting>
  <conditionalFormatting sqref="J21">
    <cfRule type="colorScale" priority="25">
      <colorScale>
        <cfvo type="min"/>
        <cfvo type="max"/>
        <color rgb="FFFCFCFF"/>
        <color rgb="FFFFC000"/>
      </colorScale>
    </cfRule>
  </conditionalFormatting>
  <conditionalFormatting sqref="L21">
    <cfRule type="colorScale" priority="23">
      <colorScale>
        <cfvo type="min"/>
        <cfvo type="max"/>
        <color rgb="FFFCFCFF"/>
        <color rgb="FF63BE7B"/>
      </colorScale>
    </cfRule>
  </conditionalFormatting>
  <conditionalFormatting sqref="N21">
    <cfRule type="colorScale" priority="22">
      <colorScale>
        <cfvo type="min"/>
        <cfvo type="max"/>
        <color rgb="FFFCFCFF"/>
        <color rgb="FFF8696B"/>
      </colorScale>
    </cfRule>
  </conditionalFormatting>
  <conditionalFormatting sqref="P21">
    <cfRule type="colorScale" priority="21">
      <colorScale>
        <cfvo type="min"/>
        <cfvo type="max"/>
        <color rgb="FFFCFCFF"/>
        <color rgb="FF663300"/>
      </colorScale>
    </cfRule>
  </conditionalFormatting>
  <conditionalFormatting sqref="L1:L1048576">
    <cfRule type="colorScale" priority="5">
      <colorScale>
        <cfvo type="percent" val="0"/>
        <cfvo type="percent" val="100"/>
        <color theme="0"/>
        <color rgb="FF00B050"/>
      </colorScale>
    </cfRule>
    <cfRule type="colorScale" priority="7">
      <colorScale>
        <cfvo type="percent" val="0"/>
        <cfvo type="percent" val="100"/>
        <color theme="0"/>
        <color rgb="FF92D050"/>
      </colorScale>
    </cfRule>
    <cfRule type="colorScale" priority="12">
      <colorScale>
        <cfvo type="min"/>
        <cfvo type="max"/>
        <color rgb="FFFCFCFF"/>
        <color rgb="FF63BE7B"/>
      </colorScale>
    </cfRule>
  </conditionalFormatting>
  <conditionalFormatting sqref="N1:N1048576">
    <cfRule type="colorScale" priority="6">
      <colorScale>
        <cfvo type="percent" val="0"/>
        <cfvo type="percent" val="100"/>
        <color theme="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</conditionalFormatting>
  <conditionalFormatting sqref="P1:P1048576">
    <cfRule type="colorScale" priority="10">
      <colorScale>
        <cfvo type="min"/>
        <cfvo type="max"/>
        <color theme="0"/>
        <color rgb="FF663300"/>
      </colorScale>
    </cfRule>
  </conditionalFormatting>
  <conditionalFormatting sqref="J1:J1048576">
    <cfRule type="colorScale" priority="4">
      <colorScale>
        <cfvo type="percent" val="0"/>
        <cfvo type="percent" val="100"/>
        <color theme="0"/>
        <color rgb="FFFFC000"/>
      </colorScale>
    </cfRule>
    <cfRule type="colorScale" priority="8">
      <colorScale>
        <cfvo type="percent" val="0"/>
        <cfvo type="percent" val="100"/>
        <color theme="0"/>
        <color rgb="FFFFFF00"/>
      </colorScale>
    </cfRule>
    <cfRule type="colorScale" priority="9">
      <colorScale>
        <cfvo type="min"/>
        <cfvo type="max"/>
        <color theme="0"/>
        <color rgb="FFFFFF00"/>
      </colorScale>
    </cfRule>
  </conditionalFormatting>
  <conditionalFormatting sqref="G1:G104857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{2A295E91-34DF-4B6F-8F55-1AD3ED6F7822}</x14:id>
        </ext>
      </extLst>
    </cfRule>
  </conditionalFormatting>
  <conditionalFormatting sqref="G11:G20 G1:G4 G6:G9 G22:G1048576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{927997D6-7F12-44B2-A762-7A5BBF5F8468}</x14:id>
        </ext>
      </extLst>
    </cfRule>
  </conditionalFormatting>
  <conditionalFormatting sqref="J11:J20 J1:J4 J6:J9 J22:J1048576">
    <cfRule type="colorScale" priority="92">
      <colorScale>
        <cfvo type="min"/>
        <cfvo type="max"/>
        <color rgb="FFFCFCFF"/>
        <color rgb="FFFFC000"/>
      </colorScale>
    </cfRule>
  </conditionalFormatting>
  <conditionalFormatting sqref="L11:L20 L1:L4 L6:L9 L22:L1048576">
    <cfRule type="colorScale" priority="98">
      <colorScale>
        <cfvo type="min"/>
        <cfvo type="max"/>
        <color rgb="FFFCFCFF"/>
        <color rgb="FF63BE7B"/>
      </colorScale>
    </cfRule>
  </conditionalFormatting>
  <conditionalFormatting sqref="N11:N20 N1:N4 N6:N9 N22:N1048576">
    <cfRule type="colorScale" priority="104">
      <colorScale>
        <cfvo type="min"/>
        <cfvo type="max"/>
        <color rgb="FFFCFCFF"/>
        <color rgb="FFF8696B"/>
      </colorScale>
    </cfRule>
  </conditionalFormatting>
  <conditionalFormatting sqref="P11:P20 P1:P4 P6:P9 P22:P1048576">
    <cfRule type="colorScale" priority="110">
      <colorScale>
        <cfvo type="min"/>
        <cfvo type="max"/>
        <color rgb="FFFCFCFF"/>
        <color rgb="FF663300"/>
      </colorScale>
    </cfRule>
  </conditionalFormatting>
  <conditionalFormatting sqref="L1:L1048576">
    <cfRule type="colorScale" priority="116">
      <colorScale>
        <cfvo type="min"/>
        <cfvo type="max"/>
        <color rgb="FFFCFCFF"/>
        <color rgb="FF63BE7B"/>
      </colorScale>
    </cfRule>
  </conditionalFormatting>
  <printOptions horizontalCentered="1"/>
  <pageMargins left="0.31496062992125984" right="0.31496062992125984" top="0.82677165354330717" bottom="0.74803149606299213" header="0.31496062992125984" footer="0.31496062992125984"/>
  <pageSetup paperSize="9" orientation="portrait" r:id="rId1"/>
  <headerFooter>
    <oddHeader>&amp;C&amp;G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7E4B24-E819-4169-A502-857D62D525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DBFB9858-9F78-4950-BF8A-6BFDFE92BD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</xm:sqref>
        </x14:conditionalFormatting>
        <x14:conditionalFormatting xmlns:xm="http://schemas.microsoft.com/office/excel/2006/main">
          <x14:cfRule type="dataBar" id="{98C6A77B-1247-4ABA-9942-1F325E5A46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G21</xm:sqref>
        </x14:conditionalFormatting>
        <x14:conditionalFormatting xmlns:xm="http://schemas.microsoft.com/office/excel/2006/main">
          <x14:cfRule type="dataBar" id="{2A295E91-34DF-4B6F-8F55-1AD3ED6F78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  <x14:conditionalFormatting xmlns:xm="http://schemas.microsoft.com/office/excel/2006/main">
          <x14:cfRule type="iconSet" priority="1" id="{56437CDA-CD4B-482B-BB72-E1420F42363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14:cfRule type="iconSet" priority="2" id="{0849B4EA-D5C3-4C48-9C0E-551DCEC8B29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afficLights1" iconId="1"/>
              <x14:cfIcon iconSet="3Arrows" iconId="2"/>
            </x14:iconSet>
          </x14:cfRule>
          <x14:cfRule type="iconSet" priority="84" id="{8EC1214D-0FA6-4800-978A-2B1EE3B31806}">
            <x14:iconSet iconSet="3Triangles" reverse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C1:C1048576</xm:sqref>
        </x14:conditionalFormatting>
        <x14:conditionalFormatting xmlns:xm="http://schemas.microsoft.com/office/excel/2006/main">
          <x14:cfRule type="iconSet" priority="44" id="{CB579BCC-A51B-4305-9918-76EA1000799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F5</xm:sqref>
        </x14:conditionalFormatting>
        <x14:conditionalFormatting xmlns:xm="http://schemas.microsoft.com/office/excel/2006/main">
          <x14:cfRule type="iconSet" priority="32" id="{2DC99837-E5C7-4546-948C-3B9A3C0EEF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F10</xm:sqref>
        </x14:conditionalFormatting>
        <x14:conditionalFormatting xmlns:xm="http://schemas.microsoft.com/office/excel/2006/main">
          <x14:cfRule type="iconSet" priority="26" id="{CFA7F953-2876-4009-B9C7-B00D5CB015D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dataBar" id="{927997D6-7F12-44B2-A762-7A5BBF5F84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G11:G20 G1:G4 G6:G9 G22:G1048576</xm:sqref>
        </x14:conditionalFormatting>
        <x14:conditionalFormatting xmlns:xm="http://schemas.microsoft.com/office/excel/2006/main">
          <x14:cfRule type="iconSet" priority="149" id="{A7D5B81C-BF77-4EED-9980-4AD6DDC6FB3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F11:F20 F1:F4 F6:F9 F22:F1048576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H25" sqref="H25"/>
    </sheetView>
  </sheetViews>
  <sheetFormatPr defaultRowHeight="15" x14ac:dyDescent="0.25"/>
  <cols>
    <col min="2" max="2" width="22.85546875" customWidth="1"/>
    <col min="5" max="5" width="18.28515625" customWidth="1"/>
    <col min="7" max="7" width="18.28515625" customWidth="1"/>
    <col min="8" max="8" width="9.140625" style="3"/>
  </cols>
  <sheetData>
    <row r="1" spans="1:8" x14ac:dyDescent="0.25">
      <c r="A1" t="s">
        <v>1</v>
      </c>
      <c r="B1" t="s">
        <v>0</v>
      </c>
      <c r="C1" t="s">
        <v>9</v>
      </c>
      <c r="D1" t="s">
        <v>20</v>
      </c>
      <c r="E1" t="s">
        <v>8</v>
      </c>
      <c r="F1" t="s">
        <v>2</v>
      </c>
      <c r="G1" t="s">
        <v>8</v>
      </c>
      <c r="H1" s="3" t="s">
        <v>3</v>
      </c>
    </row>
    <row r="3" spans="1:8" x14ac:dyDescent="0.25">
      <c r="A3" s="2">
        <v>0.79513888888888884</v>
      </c>
      <c r="B3" t="s">
        <v>43</v>
      </c>
      <c r="C3">
        <v>1</v>
      </c>
      <c r="D3" t="s">
        <v>44</v>
      </c>
      <c r="E3" t="s">
        <v>45</v>
      </c>
      <c r="F3">
        <v>57</v>
      </c>
      <c r="H3" s="3">
        <f>Pisteytys!E4</f>
        <v>2.8</v>
      </c>
    </row>
    <row r="4" spans="1:8" x14ac:dyDescent="0.25">
      <c r="B4" s="4"/>
      <c r="C4">
        <v>2</v>
      </c>
      <c r="D4" t="s">
        <v>34</v>
      </c>
      <c r="E4" t="s">
        <v>46</v>
      </c>
      <c r="F4">
        <v>51</v>
      </c>
      <c r="H4" s="3">
        <f>Pisteytys!E5</f>
        <v>0.79999999999999982</v>
      </c>
    </row>
    <row r="5" spans="1:8" x14ac:dyDescent="0.25">
      <c r="C5">
        <v>3</v>
      </c>
      <c r="D5" t="s">
        <v>13</v>
      </c>
      <c r="E5" t="s">
        <v>47</v>
      </c>
      <c r="F5">
        <v>42</v>
      </c>
      <c r="H5" s="3">
        <f>Pisteytys!E6</f>
        <v>-0.20000000000000018</v>
      </c>
    </row>
    <row r="6" spans="1:8" x14ac:dyDescent="0.25">
      <c r="C6">
        <v>4</v>
      </c>
      <c r="D6" t="s">
        <v>5</v>
      </c>
      <c r="E6" t="s">
        <v>48</v>
      </c>
      <c r="F6">
        <v>41</v>
      </c>
      <c r="H6" s="3">
        <f>Pisteytys!E7</f>
        <v>-1.2000000000000002</v>
      </c>
    </row>
    <row r="7" spans="1:8" x14ac:dyDescent="0.25">
      <c r="A7" s="2"/>
      <c r="C7">
        <v>0</v>
      </c>
      <c r="D7" t="s">
        <v>4</v>
      </c>
      <c r="E7" t="s">
        <v>49</v>
      </c>
      <c r="F7">
        <v>38</v>
      </c>
      <c r="H7" s="3">
        <f>Pisteytys!E8</f>
        <v>-2.2000000000000002</v>
      </c>
    </row>
    <row r="8" spans="1:8" x14ac:dyDescent="0.25">
      <c r="A8" s="2"/>
    </row>
    <row r="9" spans="1:8" x14ac:dyDescent="0.25">
      <c r="A9" s="2">
        <v>0.96527777777777779</v>
      </c>
      <c r="B9" t="s">
        <v>50</v>
      </c>
      <c r="C9">
        <v>1</v>
      </c>
      <c r="D9" t="s">
        <v>34</v>
      </c>
      <c r="H9" s="3">
        <f>Pisteytys!E4</f>
        <v>2.8</v>
      </c>
    </row>
    <row r="10" spans="1:8" x14ac:dyDescent="0.25">
      <c r="C10">
        <v>2</v>
      </c>
      <c r="D10" t="s">
        <v>13</v>
      </c>
      <c r="H10" s="3">
        <f>Pisteytys!E5</f>
        <v>0.79999999999999982</v>
      </c>
    </row>
    <row r="11" spans="1:8" x14ac:dyDescent="0.25">
      <c r="A11" s="2"/>
      <c r="C11">
        <v>3</v>
      </c>
      <c r="D11" t="s">
        <v>4</v>
      </c>
      <c r="H11" s="3">
        <f>Pisteytys!E6</f>
        <v>-0.20000000000000018</v>
      </c>
    </row>
    <row r="12" spans="1:8" x14ac:dyDescent="0.25">
      <c r="B12" s="4"/>
      <c r="C12">
        <v>4</v>
      </c>
      <c r="D12" t="s">
        <v>5</v>
      </c>
      <c r="H12" s="3">
        <f>Pisteytys!E7</f>
        <v>-1.2000000000000002</v>
      </c>
    </row>
    <row r="13" spans="1:8" x14ac:dyDescent="0.25">
      <c r="B13" s="4"/>
      <c r="C13">
        <v>0</v>
      </c>
      <c r="D13" t="s">
        <v>44</v>
      </c>
      <c r="H13" s="3">
        <f>Pisteytys!E8</f>
        <v>-2.2000000000000002</v>
      </c>
    </row>
    <row r="14" spans="1:8" x14ac:dyDescent="0.25">
      <c r="B14" s="4"/>
    </row>
    <row r="15" spans="1:8" x14ac:dyDescent="0.25">
      <c r="A15" s="2">
        <v>3.8194444444444441E-2</v>
      </c>
      <c r="B15" t="s">
        <v>51</v>
      </c>
      <c r="C15">
        <v>1</v>
      </c>
      <c r="D15" t="s">
        <v>5</v>
      </c>
      <c r="F15">
        <v>-42</v>
      </c>
      <c r="H15" s="3">
        <f>Pisteytys!D4</f>
        <v>2.25</v>
      </c>
    </row>
    <row r="16" spans="1:8" x14ac:dyDescent="0.25">
      <c r="A16" s="2"/>
      <c r="C16">
        <v>2</v>
      </c>
      <c r="D16" t="s">
        <v>44</v>
      </c>
      <c r="F16">
        <v>-55</v>
      </c>
      <c r="H16" s="3">
        <f>Pisteytys!D5</f>
        <v>0.25</v>
      </c>
    </row>
    <row r="17" spans="1:8" x14ac:dyDescent="0.25">
      <c r="C17">
        <v>3</v>
      </c>
      <c r="D17" t="s">
        <v>34</v>
      </c>
      <c r="F17">
        <v>-73</v>
      </c>
      <c r="H17" s="3">
        <f>Pisteytys!D6</f>
        <v>-0.75</v>
      </c>
    </row>
    <row r="18" spans="1:8" x14ac:dyDescent="0.25">
      <c r="C18">
        <v>0</v>
      </c>
      <c r="D18" t="s">
        <v>13</v>
      </c>
      <c r="F18">
        <v>-126</v>
      </c>
      <c r="H18" s="3">
        <f>Pisteytys!D7</f>
        <v>-1.75</v>
      </c>
    </row>
    <row r="20" spans="1:8" x14ac:dyDescent="0.25">
      <c r="A20" s="2">
        <v>4.1666666666666664E-2</v>
      </c>
      <c r="B20" t="s">
        <v>16</v>
      </c>
      <c r="C20">
        <v>1</v>
      </c>
      <c r="D20" t="s">
        <v>44</v>
      </c>
      <c r="F20">
        <v>4</v>
      </c>
      <c r="H20" s="3">
        <f>Pisteytys!D4</f>
        <v>2.25</v>
      </c>
    </row>
    <row r="21" spans="1:8" x14ac:dyDescent="0.25">
      <c r="C21">
        <v>2</v>
      </c>
      <c r="D21" t="s">
        <v>5</v>
      </c>
      <c r="F21">
        <v>3</v>
      </c>
      <c r="H21" s="3">
        <f>Pisteytys!D5</f>
        <v>0.25</v>
      </c>
    </row>
    <row r="22" spans="1:8" x14ac:dyDescent="0.25">
      <c r="C22">
        <v>3</v>
      </c>
      <c r="D22" t="s">
        <v>13</v>
      </c>
      <c r="F22">
        <v>3</v>
      </c>
      <c r="H22" s="3">
        <f>Pisteytys!D6</f>
        <v>-0.75</v>
      </c>
    </row>
    <row r="23" spans="1:8" x14ac:dyDescent="0.25">
      <c r="C23">
        <v>0</v>
      </c>
      <c r="D23" t="s">
        <v>34</v>
      </c>
      <c r="F23">
        <v>2</v>
      </c>
      <c r="H23" s="3">
        <f>Pisteytys!D7</f>
        <v>-1.75</v>
      </c>
    </row>
    <row r="25" spans="1:8" x14ac:dyDescent="0.25">
      <c r="A25">
        <f>COUNTA(A2:A24)</f>
        <v>4</v>
      </c>
      <c r="B25" t="s">
        <v>31</v>
      </c>
      <c r="C25">
        <v>5</v>
      </c>
      <c r="D25" t="s">
        <v>32</v>
      </c>
      <c r="G25" t="s">
        <v>18</v>
      </c>
      <c r="H25" s="3">
        <f>SUM(H2:H24)</f>
        <v>-1.7763568394002505E-15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6"/>
  <sheetViews>
    <sheetView topLeftCell="A43" workbookViewId="0">
      <selection activeCell="H75" sqref="H75"/>
    </sheetView>
  </sheetViews>
  <sheetFormatPr defaultRowHeight="15" x14ac:dyDescent="0.25"/>
  <cols>
    <col min="2" max="2" width="22.85546875" customWidth="1"/>
    <col min="5" max="5" width="18.28515625" customWidth="1"/>
    <col min="7" max="7" width="18.28515625" customWidth="1"/>
    <col min="8" max="8" width="9.140625" style="3"/>
  </cols>
  <sheetData>
    <row r="1" spans="1:8" x14ac:dyDescent="0.25">
      <c r="A1" t="s">
        <v>1</v>
      </c>
      <c r="B1" t="s">
        <v>0</v>
      </c>
      <c r="C1" t="s">
        <v>9</v>
      </c>
      <c r="D1" t="s">
        <v>20</v>
      </c>
      <c r="E1" t="s">
        <v>8</v>
      </c>
      <c r="F1" t="s">
        <v>2</v>
      </c>
      <c r="G1" t="s">
        <v>8</v>
      </c>
      <c r="H1" s="3" t="s">
        <v>3</v>
      </c>
    </row>
    <row r="3" spans="1:8" x14ac:dyDescent="0.25">
      <c r="A3" s="2">
        <v>0.38541666666666669</v>
      </c>
      <c r="B3" t="s">
        <v>53</v>
      </c>
      <c r="C3">
        <v>1</v>
      </c>
      <c r="D3" t="s">
        <v>13</v>
      </c>
      <c r="F3">
        <v>13</v>
      </c>
      <c r="H3" s="3">
        <f>Pisteytys!D4</f>
        <v>2.25</v>
      </c>
    </row>
    <row r="4" spans="1:8" x14ac:dyDescent="0.25">
      <c r="B4" s="4"/>
      <c r="C4">
        <v>2</v>
      </c>
      <c r="D4" t="s">
        <v>4</v>
      </c>
      <c r="F4">
        <v>9</v>
      </c>
      <c r="H4" s="3">
        <f>Pisteytys!D5</f>
        <v>0.25</v>
      </c>
    </row>
    <row r="5" spans="1:8" x14ac:dyDescent="0.25">
      <c r="C5">
        <v>3</v>
      </c>
      <c r="D5" t="s">
        <v>5</v>
      </c>
      <c r="F5">
        <v>6</v>
      </c>
      <c r="H5" s="3">
        <f>Pisteytys!D6</f>
        <v>-0.75</v>
      </c>
    </row>
    <row r="6" spans="1:8" x14ac:dyDescent="0.25">
      <c r="C6">
        <v>0</v>
      </c>
      <c r="D6" t="s">
        <v>44</v>
      </c>
      <c r="F6">
        <v>5</v>
      </c>
      <c r="H6" s="3">
        <f>Pisteytys!D7</f>
        <v>-1.75</v>
      </c>
    </row>
    <row r="7" spans="1:8" x14ac:dyDescent="0.25">
      <c r="A7" s="2"/>
    </row>
    <row r="8" spans="1:8" x14ac:dyDescent="0.25">
      <c r="A8" s="2">
        <v>0.48958333333333331</v>
      </c>
      <c r="B8" t="s">
        <v>54</v>
      </c>
      <c r="C8">
        <v>1</v>
      </c>
      <c r="D8" t="s">
        <v>4</v>
      </c>
      <c r="F8">
        <v>81</v>
      </c>
      <c r="H8" s="3">
        <f>Pisteytys!E4</f>
        <v>2.8</v>
      </c>
    </row>
    <row r="9" spans="1:8" x14ac:dyDescent="0.25">
      <c r="A9" s="2"/>
      <c r="B9" s="4"/>
      <c r="C9">
        <v>2</v>
      </c>
      <c r="D9" t="s">
        <v>13</v>
      </c>
      <c r="F9">
        <v>79</v>
      </c>
      <c r="H9" s="3">
        <f>Pisteytys!E5</f>
        <v>0.79999999999999982</v>
      </c>
    </row>
    <row r="10" spans="1:8" x14ac:dyDescent="0.25">
      <c r="B10" s="4"/>
      <c r="C10">
        <v>3</v>
      </c>
      <c r="D10" t="s">
        <v>44</v>
      </c>
      <c r="F10">
        <v>78</v>
      </c>
      <c r="H10" s="3">
        <f>Pisteytys!E6</f>
        <v>-0.20000000000000018</v>
      </c>
    </row>
    <row r="11" spans="1:8" x14ac:dyDescent="0.25">
      <c r="B11" s="4"/>
      <c r="C11">
        <v>4</v>
      </c>
      <c r="D11" t="s">
        <v>34</v>
      </c>
      <c r="F11">
        <v>74</v>
      </c>
      <c r="H11" s="3">
        <f>Pisteytys!E7</f>
        <v>-1.2000000000000002</v>
      </c>
    </row>
    <row r="12" spans="1:8" x14ac:dyDescent="0.25">
      <c r="A12" s="2"/>
      <c r="B12" s="4"/>
      <c r="C12">
        <v>0</v>
      </c>
      <c r="D12" t="s">
        <v>5</v>
      </c>
      <c r="F12">
        <v>70</v>
      </c>
      <c r="H12" s="3">
        <f>Pisteytys!E8</f>
        <v>-2.2000000000000002</v>
      </c>
    </row>
    <row r="13" spans="1:8" x14ac:dyDescent="0.25">
      <c r="A13" s="2"/>
      <c r="B13" s="4"/>
    </row>
    <row r="14" spans="1:8" x14ac:dyDescent="0.25">
      <c r="A14" s="2">
        <v>0.54513888888888895</v>
      </c>
      <c r="B14" s="4" t="s">
        <v>7</v>
      </c>
      <c r="C14">
        <v>1</v>
      </c>
      <c r="D14" t="s">
        <v>13</v>
      </c>
      <c r="E14" t="s">
        <v>36</v>
      </c>
      <c r="F14">
        <v>64</v>
      </c>
      <c r="H14" s="3">
        <f>Pisteytys!G4</f>
        <v>3.8571428571428572</v>
      </c>
    </row>
    <row r="15" spans="1:8" x14ac:dyDescent="0.25">
      <c r="A15" s="2"/>
      <c r="B15" s="4"/>
      <c r="C15">
        <v>2</v>
      </c>
      <c r="D15" t="s">
        <v>4</v>
      </c>
      <c r="E15" t="s">
        <v>35</v>
      </c>
      <c r="F15">
        <v>62</v>
      </c>
      <c r="G15" s="4"/>
      <c r="H15" s="3">
        <f>Pisteytys!G5</f>
        <v>1.8571428571428572</v>
      </c>
    </row>
    <row r="16" spans="1:8" x14ac:dyDescent="0.25">
      <c r="A16" s="2"/>
      <c r="B16" s="4"/>
      <c r="C16">
        <v>3</v>
      </c>
      <c r="D16" t="s">
        <v>12</v>
      </c>
      <c r="E16" t="s">
        <v>56</v>
      </c>
      <c r="F16">
        <v>60</v>
      </c>
      <c r="G16" s="4"/>
      <c r="H16" s="3">
        <f>Pisteytys!G6</f>
        <v>0.85714285714285721</v>
      </c>
    </row>
    <row r="17" spans="1:8" x14ac:dyDescent="0.25">
      <c r="A17" s="2"/>
      <c r="B17" s="4"/>
      <c r="C17">
        <v>4</v>
      </c>
      <c r="D17" t="s">
        <v>52</v>
      </c>
      <c r="E17" t="s">
        <v>57</v>
      </c>
      <c r="F17">
        <v>56</v>
      </c>
      <c r="G17" s="4"/>
      <c r="H17" s="3">
        <f>Pisteytys!G7</f>
        <v>-0.14285714285714279</v>
      </c>
    </row>
    <row r="18" spans="1:8" x14ac:dyDescent="0.25">
      <c r="A18" s="2"/>
      <c r="B18" s="4"/>
      <c r="C18">
        <v>5</v>
      </c>
      <c r="D18" t="s">
        <v>38</v>
      </c>
      <c r="E18" t="s">
        <v>58</v>
      </c>
      <c r="F18">
        <v>50</v>
      </c>
      <c r="G18" s="4"/>
      <c r="H18" s="3">
        <f>Pisteytys!G8</f>
        <v>-1.1428571428571428</v>
      </c>
    </row>
    <row r="19" spans="1:8" x14ac:dyDescent="0.25">
      <c r="A19" s="2"/>
      <c r="B19" s="4"/>
      <c r="C19">
        <v>6</v>
      </c>
      <c r="D19" t="s">
        <v>44</v>
      </c>
      <c r="E19" t="s">
        <v>59</v>
      </c>
      <c r="F19">
        <v>48</v>
      </c>
      <c r="G19" s="4"/>
      <c r="H19" s="3">
        <f>Pisteytys!G9</f>
        <v>-2.1428571428571428</v>
      </c>
    </row>
    <row r="20" spans="1:8" x14ac:dyDescent="0.25">
      <c r="A20" s="2"/>
      <c r="B20" s="4"/>
      <c r="C20">
        <v>0</v>
      </c>
      <c r="D20" t="s">
        <v>34</v>
      </c>
      <c r="E20" t="s">
        <v>60</v>
      </c>
      <c r="F20">
        <v>41</v>
      </c>
      <c r="H20" s="3">
        <f>Pisteytys!G10</f>
        <v>-3.1428571428571428</v>
      </c>
    </row>
    <row r="21" spans="1:8" x14ac:dyDescent="0.25">
      <c r="B21" s="4"/>
    </row>
    <row r="22" spans="1:8" x14ac:dyDescent="0.25">
      <c r="A22" s="2">
        <v>0.62152777777777779</v>
      </c>
      <c r="B22" s="4" t="s">
        <v>55</v>
      </c>
      <c r="C22">
        <v>1</v>
      </c>
      <c r="D22" t="s">
        <v>13</v>
      </c>
      <c r="F22">
        <v>74</v>
      </c>
      <c r="H22" s="3">
        <f>Pisteytys!D4</f>
        <v>2.25</v>
      </c>
    </row>
    <row r="23" spans="1:8" x14ac:dyDescent="0.25">
      <c r="B23" s="4"/>
      <c r="C23">
        <v>2</v>
      </c>
      <c r="D23" t="s">
        <v>44</v>
      </c>
      <c r="F23">
        <v>54</v>
      </c>
      <c r="H23" s="3">
        <f>Pisteytys!D5</f>
        <v>0.25</v>
      </c>
    </row>
    <row r="24" spans="1:8" x14ac:dyDescent="0.25">
      <c r="C24">
        <v>3</v>
      </c>
      <c r="D24" t="s">
        <v>38</v>
      </c>
      <c r="F24">
        <v>63</v>
      </c>
      <c r="H24" s="3">
        <f>Pisteytys!D6</f>
        <v>-0.75</v>
      </c>
    </row>
    <row r="25" spans="1:8" x14ac:dyDescent="0.25">
      <c r="C25">
        <v>0</v>
      </c>
      <c r="D25" t="s">
        <v>12</v>
      </c>
      <c r="F25">
        <v>50</v>
      </c>
      <c r="H25" s="3">
        <f>Pisteytys!D7</f>
        <v>-1.75</v>
      </c>
    </row>
    <row r="27" spans="1:8" x14ac:dyDescent="0.25">
      <c r="A27" s="2">
        <v>0.72222222222222221</v>
      </c>
      <c r="B27" t="s">
        <v>15</v>
      </c>
      <c r="C27">
        <v>1</v>
      </c>
      <c r="D27" t="s">
        <v>52</v>
      </c>
      <c r="F27">
        <v>640</v>
      </c>
      <c r="H27" s="3">
        <f>Pisteytys!D4</f>
        <v>2.25</v>
      </c>
    </row>
    <row r="28" spans="1:8" x14ac:dyDescent="0.25">
      <c r="C28">
        <v>2</v>
      </c>
      <c r="D28" t="s">
        <v>13</v>
      </c>
      <c r="F28">
        <v>440</v>
      </c>
      <c r="H28" s="3">
        <f>Pisteytys!D5</f>
        <v>0.25</v>
      </c>
    </row>
    <row r="29" spans="1:8" x14ac:dyDescent="0.25">
      <c r="C29">
        <v>0</v>
      </c>
      <c r="D29" t="s">
        <v>4</v>
      </c>
      <c r="F29">
        <v>359</v>
      </c>
      <c r="G29" s="4"/>
      <c r="H29" s="3">
        <f>(Pisteytys!D6+Pisteytys!D7)/2</f>
        <v>-1.25</v>
      </c>
    </row>
    <row r="30" spans="1:8" x14ac:dyDescent="0.25">
      <c r="C30">
        <v>0</v>
      </c>
      <c r="D30" t="s">
        <v>14</v>
      </c>
      <c r="F30">
        <v>359</v>
      </c>
      <c r="G30" s="4"/>
      <c r="H30" s="3">
        <f>(Pisteytys!D6+Pisteytys!D7)/2</f>
        <v>-1.25</v>
      </c>
    </row>
    <row r="31" spans="1:8" x14ac:dyDescent="0.25">
      <c r="A31" s="2"/>
    </row>
    <row r="32" spans="1:8" x14ac:dyDescent="0.25">
      <c r="A32" s="2">
        <v>0.74305555555555547</v>
      </c>
      <c r="B32" s="4" t="s">
        <v>61</v>
      </c>
      <c r="C32">
        <v>1</v>
      </c>
      <c r="D32" t="s">
        <v>5</v>
      </c>
      <c r="F32">
        <v>55</v>
      </c>
      <c r="H32" s="3">
        <f>Pisteytys!D4</f>
        <v>2.25</v>
      </c>
    </row>
    <row r="33" spans="1:8" x14ac:dyDescent="0.25">
      <c r="B33" s="4"/>
      <c r="C33">
        <v>2</v>
      </c>
      <c r="D33" t="s">
        <v>34</v>
      </c>
      <c r="F33">
        <v>41</v>
      </c>
      <c r="H33" s="3">
        <f>Pisteytys!D5</f>
        <v>0.25</v>
      </c>
    </row>
    <row r="34" spans="1:8" x14ac:dyDescent="0.25">
      <c r="C34">
        <v>3</v>
      </c>
      <c r="D34" t="s">
        <v>38</v>
      </c>
      <c r="F34">
        <v>40</v>
      </c>
      <c r="H34" s="3">
        <f>Pisteytys!D6</f>
        <v>-0.75</v>
      </c>
    </row>
    <row r="35" spans="1:8" x14ac:dyDescent="0.25">
      <c r="A35" s="2"/>
      <c r="C35">
        <v>0</v>
      </c>
      <c r="D35" t="s">
        <v>12</v>
      </c>
      <c r="F35">
        <v>30</v>
      </c>
      <c r="H35" s="3">
        <f>Pisteytys!D7</f>
        <v>-1.75</v>
      </c>
    </row>
    <row r="36" spans="1:8" x14ac:dyDescent="0.25">
      <c r="A36" s="2"/>
    </row>
    <row r="37" spans="1:8" x14ac:dyDescent="0.25">
      <c r="A37" s="2">
        <v>0.79166666666666663</v>
      </c>
      <c r="B37" s="4" t="s">
        <v>15</v>
      </c>
      <c r="C37">
        <v>1</v>
      </c>
      <c r="D37" t="s">
        <v>4</v>
      </c>
      <c r="F37">
        <v>482</v>
      </c>
      <c r="H37" s="3">
        <f>Pisteytys!E4</f>
        <v>2.8</v>
      </c>
    </row>
    <row r="38" spans="1:8" x14ac:dyDescent="0.25">
      <c r="B38" s="4"/>
      <c r="C38">
        <v>2</v>
      </c>
      <c r="D38" t="s">
        <v>52</v>
      </c>
      <c r="F38">
        <v>478</v>
      </c>
      <c r="H38" s="3">
        <f>Pisteytys!E5</f>
        <v>0.79999999999999982</v>
      </c>
    </row>
    <row r="39" spans="1:8" x14ac:dyDescent="0.25">
      <c r="B39" s="4"/>
      <c r="C39">
        <v>3</v>
      </c>
      <c r="D39" t="s">
        <v>62</v>
      </c>
      <c r="F39">
        <v>438</v>
      </c>
      <c r="H39" s="3">
        <f>Pisteytys!E6</f>
        <v>-0.20000000000000018</v>
      </c>
    </row>
    <row r="40" spans="1:8" x14ac:dyDescent="0.25">
      <c r="A40" s="2"/>
      <c r="C40">
        <v>4</v>
      </c>
      <c r="D40" t="s">
        <v>44</v>
      </c>
      <c r="F40">
        <v>382</v>
      </c>
      <c r="H40" s="3">
        <f>Pisteytys!E7</f>
        <v>-1.2000000000000002</v>
      </c>
    </row>
    <row r="41" spans="1:8" x14ac:dyDescent="0.25">
      <c r="A41" s="2"/>
      <c r="C41">
        <v>5</v>
      </c>
      <c r="D41" t="s">
        <v>14</v>
      </c>
      <c r="F41">
        <v>284</v>
      </c>
      <c r="H41" s="3">
        <f>Pisteytys!E8</f>
        <v>-2.2000000000000002</v>
      </c>
    </row>
    <row r="43" spans="1:8" x14ac:dyDescent="0.25">
      <c r="A43" s="2">
        <v>0.86458333333333337</v>
      </c>
      <c r="B43" t="s">
        <v>17</v>
      </c>
      <c r="C43">
        <v>1</v>
      </c>
      <c r="D43" t="s">
        <v>14</v>
      </c>
      <c r="F43">
        <v>80</v>
      </c>
      <c r="H43" s="3">
        <f>Pisteytys!E4</f>
        <v>2.8</v>
      </c>
    </row>
    <row r="44" spans="1:8" x14ac:dyDescent="0.25">
      <c r="A44" s="2"/>
      <c r="C44">
        <v>2</v>
      </c>
      <c r="D44" t="s">
        <v>62</v>
      </c>
      <c r="F44">
        <v>77</v>
      </c>
      <c r="H44" s="3">
        <f>Pisteytys!E5</f>
        <v>0.79999999999999982</v>
      </c>
    </row>
    <row r="45" spans="1:8" x14ac:dyDescent="0.25">
      <c r="C45">
        <v>3</v>
      </c>
      <c r="D45" t="s">
        <v>13</v>
      </c>
      <c r="F45">
        <v>69</v>
      </c>
      <c r="H45" s="3">
        <f>Pisteytys!E6</f>
        <v>-0.20000000000000018</v>
      </c>
    </row>
    <row r="46" spans="1:8" x14ac:dyDescent="0.25">
      <c r="C46">
        <v>4</v>
      </c>
      <c r="D46" t="s">
        <v>4</v>
      </c>
      <c r="F46">
        <v>61</v>
      </c>
      <c r="H46" s="3">
        <f>Pisteytys!E7</f>
        <v>-1.2000000000000002</v>
      </c>
    </row>
    <row r="47" spans="1:8" x14ac:dyDescent="0.25">
      <c r="A47" s="2"/>
      <c r="C47">
        <v>0</v>
      </c>
      <c r="D47" t="s">
        <v>5</v>
      </c>
      <c r="F47">
        <v>59</v>
      </c>
      <c r="H47" s="3">
        <f>Pisteytys!E8</f>
        <v>-2.2000000000000002</v>
      </c>
    </row>
    <row r="48" spans="1:8" x14ac:dyDescent="0.25">
      <c r="A48" s="2"/>
    </row>
    <row r="49" spans="1:8" x14ac:dyDescent="0.25">
      <c r="A49" s="2">
        <v>0.87847222222222221</v>
      </c>
      <c r="B49" t="s">
        <v>63</v>
      </c>
      <c r="C49">
        <v>1</v>
      </c>
      <c r="D49" t="s">
        <v>34</v>
      </c>
      <c r="F49">
        <v>111</v>
      </c>
      <c r="H49" s="3">
        <f>Pisteytys!E4</f>
        <v>2.8</v>
      </c>
    </row>
    <row r="50" spans="1:8" x14ac:dyDescent="0.25">
      <c r="A50" s="2"/>
      <c r="C50">
        <v>2</v>
      </c>
      <c r="D50" t="s">
        <v>38</v>
      </c>
      <c r="F50">
        <v>107</v>
      </c>
      <c r="H50" s="3">
        <f>Pisteytys!E5</f>
        <v>0.79999999999999982</v>
      </c>
    </row>
    <row r="51" spans="1:8" x14ac:dyDescent="0.25">
      <c r="A51" s="2"/>
      <c r="C51">
        <v>3</v>
      </c>
      <c r="D51" t="s">
        <v>52</v>
      </c>
      <c r="F51">
        <v>100</v>
      </c>
      <c r="H51" s="3">
        <f>Pisteytys!E6</f>
        <v>-0.20000000000000018</v>
      </c>
    </row>
    <row r="52" spans="1:8" x14ac:dyDescent="0.25">
      <c r="A52" s="2"/>
      <c r="C52">
        <v>4</v>
      </c>
      <c r="D52" t="s">
        <v>44</v>
      </c>
      <c r="F52">
        <v>90</v>
      </c>
      <c r="H52" s="3">
        <f>Pisteytys!E7</f>
        <v>-1.2000000000000002</v>
      </c>
    </row>
    <row r="53" spans="1:8" x14ac:dyDescent="0.25">
      <c r="A53" s="2"/>
      <c r="C53">
        <v>0</v>
      </c>
      <c r="D53" t="s">
        <v>12</v>
      </c>
      <c r="F53">
        <v>74</v>
      </c>
      <c r="H53" s="3">
        <f>Pisteytys!E8</f>
        <v>-2.2000000000000002</v>
      </c>
    </row>
    <row r="55" spans="1:8" x14ac:dyDescent="0.25">
      <c r="A55" s="2">
        <v>0.9375</v>
      </c>
      <c r="B55" t="s">
        <v>16</v>
      </c>
      <c r="C55">
        <v>1</v>
      </c>
      <c r="D55" t="s">
        <v>5</v>
      </c>
      <c r="F55">
        <v>3</v>
      </c>
      <c r="H55" s="3">
        <f>Pisteytys!D4</f>
        <v>2.25</v>
      </c>
    </row>
    <row r="56" spans="1:8" x14ac:dyDescent="0.25">
      <c r="C56">
        <v>2</v>
      </c>
      <c r="D56" t="s">
        <v>4</v>
      </c>
      <c r="F56">
        <v>2</v>
      </c>
      <c r="H56" s="3">
        <f>(Pisteytys!D5+Pisteytys!D6)/2</f>
        <v>-0.25</v>
      </c>
    </row>
    <row r="57" spans="1:8" x14ac:dyDescent="0.25">
      <c r="C57">
        <v>2</v>
      </c>
      <c r="D57" t="s">
        <v>13</v>
      </c>
      <c r="F57">
        <v>2</v>
      </c>
      <c r="H57" s="3">
        <f>(Pisteytys!D5+Pisteytys!D6)/2</f>
        <v>-0.25</v>
      </c>
    </row>
    <row r="58" spans="1:8" x14ac:dyDescent="0.25">
      <c r="A58" s="2"/>
      <c r="C58">
        <v>0</v>
      </c>
      <c r="D58" t="s">
        <v>62</v>
      </c>
      <c r="F58">
        <v>1</v>
      </c>
      <c r="H58" s="3">
        <f>Pisteytys!D7</f>
        <v>-1.75</v>
      </c>
    </row>
    <row r="60" spans="1:8" x14ac:dyDescent="0.25">
      <c r="A60" s="2">
        <v>0.97916666666666663</v>
      </c>
      <c r="B60" t="s">
        <v>64</v>
      </c>
      <c r="C60">
        <v>1</v>
      </c>
      <c r="D60" t="s">
        <v>12</v>
      </c>
      <c r="F60">
        <v>46</v>
      </c>
      <c r="H60" s="3">
        <f>Pisteytys!D4</f>
        <v>2.25</v>
      </c>
    </row>
    <row r="61" spans="1:8" x14ac:dyDescent="0.25">
      <c r="C61">
        <v>2</v>
      </c>
      <c r="D61" t="s">
        <v>44</v>
      </c>
      <c r="F61">
        <v>39</v>
      </c>
      <c r="H61" s="3">
        <f>Pisteytys!D5</f>
        <v>0.25</v>
      </c>
    </row>
    <row r="62" spans="1:8" x14ac:dyDescent="0.25">
      <c r="C62">
        <v>3</v>
      </c>
      <c r="D62" t="s">
        <v>34</v>
      </c>
      <c r="F62">
        <v>31</v>
      </c>
      <c r="H62" s="3">
        <f>Pisteytys!D6</f>
        <v>-0.75</v>
      </c>
    </row>
    <row r="63" spans="1:8" x14ac:dyDescent="0.25">
      <c r="C63">
        <v>0</v>
      </c>
      <c r="D63" t="s">
        <v>62</v>
      </c>
      <c r="F63">
        <v>30</v>
      </c>
      <c r="H63" s="3">
        <f>Pisteytys!D7</f>
        <v>-1.75</v>
      </c>
    </row>
    <row r="65" spans="1:8" x14ac:dyDescent="0.25">
      <c r="A65" s="2">
        <v>1.0416666666666666E-2</v>
      </c>
      <c r="B65" t="s">
        <v>66</v>
      </c>
      <c r="C65">
        <v>1</v>
      </c>
      <c r="D65" t="s">
        <v>52</v>
      </c>
      <c r="F65">
        <v>27</v>
      </c>
      <c r="H65" s="3">
        <f>Pisteytys!D4</f>
        <v>2.25</v>
      </c>
    </row>
    <row r="66" spans="1:8" x14ac:dyDescent="0.25">
      <c r="C66">
        <v>2</v>
      </c>
      <c r="D66" t="s">
        <v>13</v>
      </c>
      <c r="F66">
        <v>20</v>
      </c>
      <c r="H66" s="3">
        <f>Pisteytys!D5</f>
        <v>0.25</v>
      </c>
    </row>
    <row r="67" spans="1:8" x14ac:dyDescent="0.25">
      <c r="C67">
        <v>3</v>
      </c>
      <c r="D67" t="s">
        <v>5</v>
      </c>
      <c r="F67">
        <v>15</v>
      </c>
      <c r="H67" s="3">
        <f>Pisteytys!D6</f>
        <v>-0.75</v>
      </c>
    </row>
    <row r="68" spans="1:8" x14ac:dyDescent="0.25">
      <c r="C68">
        <v>0</v>
      </c>
      <c r="D68" t="s">
        <v>38</v>
      </c>
      <c r="F68">
        <v>13</v>
      </c>
      <c r="H68" s="3">
        <f>Pisteytys!D7</f>
        <v>-1.75</v>
      </c>
    </row>
    <row r="70" spans="1:8" x14ac:dyDescent="0.25">
      <c r="A70" s="2">
        <v>4.5138888888888888E-2</v>
      </c>
      <c r="B70" t="s">
        <v>65</v>
      </c>
      <c r="C70">
        <v>1</v>
      </c>
      <c r="D70" t="s">
        <v>12</v>
      </c>
      <c r="F70">
        <v>36</v>
      </c>
      <c r="H70" s="3">
        <f>Pisteytys!D4</f>
        <v>2.25</v>
      </c>
    </row>
    <row r="71" spans="1:8" x14ac:dyDescent="0.25">
      <c r="C71">
        <v>2</v>
      </c>
      <c r="D71" t="s">
        <v>34</v>
      </c>
      <c r="F71">
        <v>33</v>
      </c>
      <c r="H71" s="3">
        <f>Pisteytys!D5</f>
        <v>0.25</v>
      </c>
    </row>
    <row r="72" spans="1:8" x14ac:dyDescent="0.25">
      <c r="C72">
        <v>3</v>
      </c>
      <c r="D72" t="s">
        <v>4</v>
      </c>
      <c r="F72">
        <v>24</v>
      </c>
      <c r="H72" s="3">
        <f>Pisteytys!D6</f>
        <v>-0.75</v>
      </c>
    </row>
    <row r="73" spans="1:8" x14ac:dyDescent="0.25">
      <c r="C73">
        <v>0</v>
      </c>
      <c r="D73" t="s">
        <v>44</v>
      </c>
      <c r="F73">
        <v>21</v>
      </c>
      <c r="H73" s="3">
        <f>Pisteytys!D7</f>
        <v>-1.75</v>
      </c>
    </row>
    <row r="75" spans="1:8" x14ac:dyDescent="0.25">
      <c r="A75">
        <f>COUNTA(A2:A74)</f>
        <v>13</v>
      </c>
      <c r="B75" t="s">
        <v>31</v>
      </c>
      <c r="C75">
        <v>10</v>
      </c>
      <c r="D75" t="s">
        <v>32</v>
      </c>
      <c r="G75" t="s">
        <v>18</v>
      </c>
      <c r="H75" s="3">
        <f>SUM(H2:H74)</f>
        <v>-1.7763568394002505E-15</v>
      </c>
    </row>
    <row r="79" spans="1:8" x14ac:dyDescent="0.25">
      <c r="A79" s="2"/>
    </row>
    <row r="80" spans="1:8" x14ac:dyDescent="0.25">
      <c r="A80" s="2"/>
      <c r="B80" s="4"/>
    </row>
    <row r="81" spans="1:2" x14ac:dyDescent="0.25">
      <c r="B81" s="4"/>
    </row>
    <row r="82" spans="1:2" x14ac:dyDescent="0.25">
      <c r="B82" s="4"/>
    </row>
    <row r="84" spans="1:2" x14ac:dyDescent="0.25">
      <c r="A84" s="2"/>
    </row>
    <row r="88" spans="1:2" x14ac:dyDescent="0.25">
      <c r="A88" s="2"/>
    </row>
    <row r="96" spans="1:2" x14ac:dyDescent="0.25">
      <c r="A96" s="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workbookViewId="0">
      <selection activeCell="H13" sqref="H13"/>
    </sheetView>
  </sheetViews>
  <sheetFormatPr defaultRowHeight="15" x14ac:dyDescent="0.25"/>
  <cols>
    <col min="2" max="2" width="22.85546875" customWidth="1"/>
    <col min="5" max="5" width="18.28515625" customWidth="1"/>
    <col min="7" max="7" width="18.28515625" customWidth="1"/>
    <col min="8" max="8" width="9.140625" style="3"/>
  </cols>
  <sheetData>
    <row r="1" spans="1:8" x14ac:dyDescent="0.25">
      <c r="A1" t="s">
        <v>1</v>
      </c>
      <c r="B1" t="s">
        <v>0</v>
      </c>
      <c r="C1" t="s">
        <v>9</v>
      </c>
      <c r="D1" t="s">
        <v>20</v>
      </c>
      <c r="E1" t="s">
        <v>8</v>
      </c>
      <c r="F1" t="s">
        <v>2</v>
      </c>
      <c r="G1" t="s">
        <v>8</v>
      </c>
      <c r="H1" s="3" t="s">
        <v>3</v>
      </c>
    </row>
    <row r="3" spans="1:8" x14ac:dyDescent="0.25">
      <c r="A3" s="2">
        <v>0.47916666666666669</v>
      </c>
      <c r="B3" t="s">
        <v>33</v>
      </c>
      <c r="C3">
        <v>1</v>
      </c>
      <c r="D3" t="s">
        <v>13</v>
      </c>
      <c r="F3">
        <v>33</v>
      </c>
      <c r="H3" s="3">
        <f>Pisteytys!C4</f>
        <v>1.6666666666666667</v>
      </c>
    </row>
    <row r="4" spans="1:8" x14ac:dyDescent="0.25">
      <c r="B4" s="4"/>
      <c r="C4">
        <v>2</v>
      </c>
      <c r="D4" t="s">
        <v>5</v>
      </c>
      <c r="F4">
        <v>27</v>
      </c>
      <c r="H4" s="3">
        <f>Pisteytys!C5</f>
        <v>-0.33333333333333326</v>
      </c>
    </row>
    <row r="5" spans="1:8" x14ac:dyDescent="0.25">
      <c r="C5">
        <v>0</v>
      </c>
      <c r="D5" t="s">
        <v>44</v>
      </c>
      <c r="F5">
        <v>24</v>
      </c>
      <c r="H5" s="3">
        <f>Pisteytys!C6</f>
        <v>-1.3333333333333333</v>
      </c>
    </row>
    <row r="7" spans="1:8" x14ac:dyDescent="0.25">
      <c r="A7" s="2">
        <v>0.45833333333333331</v>
      </c>
      <c r="B7" t="s">
        <v>7</v>
      </c>
      <c r="C7">
        <v>1</v>
      </c>
      <c r="D7" t="s">
        <v>4</v>
      </c>
      <c r="E7" t="s">
        <v>40</v>
      </c>
      <c r="F7">
        <v>82</v>
      </c>
      <c r="H7" s="3">
        <f>Pisteytys!E4</f>
        <v>2.8</v>
      </c>
    </row>
    <row r="8" spans="1:8" x14ac:dyDescent="0.25">
      <c r="A8" s="2"/>
      <c r="B8" s="4" t="s">
        <v>11</v>
      </c>
      <c r="C8">
        <v>2</v>
      </c>
      <c r="D8" t="s">
        <v>34</v>
      </c>
      <c r="E8" t="s">
        <v>41</v>
      </c>
      <c r="F8">
        <v>60</v>
      </c>
      <c r="G8" s="4"/>
      <c r="H8" s="3">
        <f>Pisteytys!E5</f>
        <v>0.79999999999999982</v>
      </c>
    </row>
    <row r="9" spans="1:8" x14ac:dyDescent="0.25">
      <c r="B9" s="4"/>
      <c r="C9">
        <v>3</v>
      </c>
      <c r="D9" t="s">
        <v>44</v>
      </c>
      <c r="E9" t="s">
        <v>39</v>
      </c>
      <c r="F9">
        <v>57</v>
      </c>
      <c r="H9" s="3">
        <f>Pisteytys!E6</f>
        <v>-0.20000000000000018</v>
      </c>
    </row>
    <row r="10" spans="1:8" x14ac:dyDescent="0.25">
      <c r="A10" s="2"/>
      <c r="C10">
        <v>4</v>
      </c>
      <c r="D10" t="s">
        <v>5</v>
      </c>
      <c r="E10" t="s">
        <v>37</v>
      </c>
      <c r="F10">
        <v>46</v>
      </c>
      <c r="H10" s="3">
        <f>(Pisteytys!E7+Pisteytys!E8)/2</f>
        <v>-1.7000000000000002</v>
      </c>
    </row>
    <row r="11" spans="1:8" x14ac:dyDescent="0.25">
      <c r="C11">
        <v>0</v>
      </c>
      <c r="D11" t="s">
        <v>38</v>
      </c>
      <c r="E11" t="s">
        <v>67</v>
      </c>
      <c r="F11">
        <v>42</v>
      </c>
      <c r="H11" s="3">
        <f>(Pisteytys!E7+Pisteytys!E8)/2</f>
        <v>-1.7000000000000002</v>
      </c>
    </row>
    <row r="12" spans="1:8" x14ac:dyDescent="0.25">
      <c r="B12" s="4"/>
    </row>
    <row r="13" spans="1:8" x14ac:dyDescent="0.25">
      <c r="A13">
        <f>COUNTA(A2:A12)</f>
        <v>2</v>
      </c>
      <c r="B13" t="s">
        <v>31</v>
      </c>
      <c r="C13">
        <v>5</v>
      </c>
      <c r="D13" t="s">
        <v>32</v>
      </c>
      <c r="G13" t="s">
        <v>18</v>
      </c>
      <c r="H13" s="3">
        <f>SUM(H2:H12)</f>
        <v>0</v>
      </c>
    </row>
    <row r="15" spans="1:8" x14ac:dyDescent="0.25">
      <c r="A15" s="2"/>
    </row>
    <row r="16" spans="1:8" x14ac:dyDescent="0.25">
      <c r="B16" s="4"/>
    </row>
    <row r="17" spans="1:2" x14ac:dyDescent="0.25">
      <c r="B17" s="4"/>
    </row>
    <row r="18" spans="1:2" x14ac:dyDescent="0.25">
      <c r="B18" s="4"/>
    </row>
    <row r="20" spans="1:2" x14ac:dyDescent="0.25">
      <c r="A20" s="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5" x14ac:dyDescent="0.25"/>
  <sheetData>
    <row r="1" spans="1:10" x14ac:dyDescent="0.25">
      <c r="B1" t="s">
        <v>10</v>
      </c>
    </row>
    <row r="2" spans="1:10" x14ac:dyDescent="0.25"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</row>
    <row r="3" spans="1:10" x14ac:dyDescent="0.25">
      <c r="A3" t="s">
        <v>9</v>
      </c>
    </row>
    <row r="4" spans="1:10" x14ac:dyDescent="0.25">
      <c r="A4">
        <v>1</v>
      </c>
      <c r="B4" s="3">
        <f>2-2/2</f>
        <v>1</v>
      </c>
      <c r="C4" s="3">
        <f>3-4/3</f>
        <v>1.6666666666666667</v>
      </c>
      <c r="D4" s="3">
        <f>4-7/4</f>
        <v>2.25</v>
      </c>
      <c r="E4" s="3">
        <f>5-11/5</f>
        <v>2.8</v>
      </c>
      <c r="F4" s="3">
        <f>6-16/6</f>
        <v>3.3333333333333335</v>
      </c>
      <c r="G4" s="3">
        <f>7-22/7</f>
        <v>3.8571428571428572</v>
      </c>
      <c r="H4">
        <f>8-29/8</f>
        <v>4.375</v>
      </c>
      <c r="I4">
        <f>9-37/9</f>
        <v>4.8888888888888893</v>
      </c>
      <c r="J4">
        <f>10-46/10</f>
        <v>5.4</v>
      </c>
    </row>
    <row r="5" spans="1:10" x14ac:dyDescent="0.25">
      <c r="A5">
        <v>2</v>
      </c>
      <c r="B5" s="3">
        <f>0-2/2</f>
        <v>-1</v>
      </c>
      <c r="C5" s="3">
        <f>1-4/3</f>
        <v>-0.33333333333333326</v>
      </c>
      <c r="D5" s="3">
        <f>2-7/4</f>
        <v>0.25</v>
      </c>
      <c r="E5" s="3">
        <f>3-11/5</f>
        <v>0.79999999999999982</v>
      </c>
      <c r="F5" s="3">
        <f>4-16/6</f>
        <v>1.3333333333333335</v>
      </c>
      <c r="G5" s="3">
        <f>5-22/7</f>
        <v>1.8571428571428572</v>
      </c>
      <c r="H5">
        <f>6-29/8</f>
        <v>2.375</v>
      </c>
      <c r="I5">
        <f>7-37/9</f>
        <v>2.8888888888888893</v>
      </c>
      <c r="J5">
        <f>8-46/10</f>
        <v>3.4000000000000004</v>
      </c>
    </row>
    <row r="6" spans="1:10" x14ac:dyDescent="0.25">
      <c r="A6">
        <v>3</v>
      </c>
      <c r="B6" s="3"/>
      <c r="C6" s="3">
        <f>0-4/3</f>
        <v>-1.3333333333333333</v>
      </c>
      <c r="D6" s="3">
        <f>1-7/4</f>
        <v>-0.75</v>
      </c>
      <c r="E6" s="3">
        <f>2-11/5</f>
        <v>-0.20000000000000018</v>
      </c>
      <c r="F6" s="3">
        <f>3-16/6</f>
        <v>0.33333333333333348</v>
      </c>
      <c r="G6" s="3">
        <f>4-22/7</f>
        <v>0.85714285714285721</v>
      </c>
      <c r="H6">
        <f>5-29/8</f>
        <v>1.375</v>
      </c>
      <c r="I6">
        <f>6-37/9</f>
        <v>1.8888888888888893</v>
      </c>
      <c r="J6">
        <f>7-46/10</f>
        <v>2.4000000000000004</v>
      </c>
    </row>
    <row r="7" spans="1:10" x14ac:dyDescent="0.25">
      <c r="A7">
        <v>4</v>
      </c>
      <c r="B7" s="3"/>
      <c r="C7" s="3"/>
      <c r="D7" s="3">
        <f>0-7/4</f>
        <v>-1.75</v>
      </c>
      <c r="E7" s="3">
        <f>1-11/5</f>
        <v>-1.2000000000000002</v>
      </c>
      <c r="F7" s="3">
        <f>2-16/6</f>
        <v>-0.66666666666666652</v>
      </c>
      <c r="G7" s="3">
        <f>3-22/7</f>
        <v>-0.14285714285714279</v>
      </c>
      <c r="H7">
        <f>4-29/8</f>
        <v>0.375</v>
      </c>
      <c r="I7">
        <f>5-37/9</f>
        <v>0.88888888888888928</v>
      </c>
      <c r="J7">
        <f>6-46/10</f>
        <v>1.4000000000000004</v>
      </c>
    </row>
    <row r="8" spans="1:10" x14ac:dyDescent="0.25">
      <c r="A8">
        <v>5</v>
      </c>
      <c r="B8" s="3"/>
      <c r="C8" s="3"/>
      <c r="D8" s="3"/>
      <c r="E8" s="3">
        <f>0-11/5</f>
        <v>-2.2000000000000002</v>
      </c>
      <c r="F8" s="3">
        <f>1-16/6</f>
        <v>-1.6666666666666665</v>
      </c>
      <c r="G8" s="3">
        <f>2-22/7</f>
        <v>-1.1428571428571428</v>
      </c>
      <c r="H8">
        <f>3-29/8</f>
        <v>-0.625</v>
      </c>
      <c r="I8">
        <f>4-37/9</f>
        <v>-0.11111111111111072</v>
      </c>
      <c r="J8">
        <f>5-46/10</f>
        <v>0.40000000000000036</v>
      </c>
    </row>
    <row r="9" spans="1:10" x14ac:dyDescent="0.25">
      <c r="A9">
        <v>6</v>
      </c>
      <c r="B9" s="3"/>
      <c r="C9" s="3"/>
      <c r="D9" s="3"/>
      <c r="E9" s="3"/>
      <c r="F9" s="3">
        <f>0-16/6</f>
        <v>-2.6666666666666665</v>
      </c>
      <c r="G9" s="3">
        <f>1-22/7</f>
        <v>-2.1428571428571428</v>
      </c>
      <c r="H9">
        <f>2-29/8</f>
        <v>-1.625</v>
      </c>
      <c r="I9">
        <f>3-37/9</f>
        <v>-1.1111111111111107</v>
      </c>
      <c r="J9">
        <f>4-46/10</f>
        <v>-0.59999999999999964</v>
      </c>
    </row>
    <row r="10" spans="1:10" x14ac:dyDescent="0.25">
      <c r="A10">
        <v>7</v>
      </c>
      <c r="B10" s="3"/>
      <c r="C10" s="3"/>
      <c r="D10" s="3"/>
      <c r="E10" s="3"/>
      <c r="F10" s="3"/>
      <c r="G10" s="3">
        <f>0-22/7</f>
        <v>-3.1428571428571428</v>
      </c>
      <c r="H10">
        <f>1-29/8</f>
        <v>-2.625</v>
      </c>
      <c r="I10">
        <f>2-37/9</f>
        <v>-2.1111111111111107</v>
      </c>
      <c r="J10">
        <f>3-46/10</f>
        <v>-1.5999999999999996</v>
      </c>
    </row>
    <row r="11" spans="1:10" x14ac:dyDescent="0.25">
      <c r="A11">
        <v>8</v>
      </c>
      <c r="H11">
        <f>0-29/8</f>
        <v>-3.625</v>
      </c>
      <c r="I11">
        <f>1-37/9</f>
        <v>-3.1111111111111107</v>
      </c>
      <c r="J11">
        <f>2-46/10</f>
        <v>-2.5999999999999996</v>
      </c>
    </row>
    <row r="12" spans="1:10" x14ac:dyDescent="0.25">
      <c r="A12">
        <v>9</v>
      </c>
      <c r="I12">
        <f>0-37/9</f>
        <v>-4.1111111111111107</v>
      </c>
      <c r="J12">
        <f>1-46/10</f>
        <v>-3.5999999999999996</v>
      </c>
    </row>
    <row r="13" spans="1:10" x14ac:dyDescent="0.25">
      <c r="A13">
        <v>10</v>
      </c>
      <c r="J13">
        <f>0-46/10</f>
        <v>-4.5999999999999996</v>
      </c>
    </row>
    <row r="14" spans="1:10" x14ac:dyDescent="0.25">
      <c r="B14" s="3">
        <f t="shared" ref="B14:J14" si="0">SUM(B4:B13)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Turnaus</vt:lpstr>
      <vt:lpstr>Perjantai</vt:lpstr>
      <vt:lpstr>Lauantai</vt:lpstr>
      <vt:lpstr>Sunnuntai</vt:lpstr>
      <vt:lpstr>Pisteytys</vt:lpstr>
    </vt:vector>
  </TitlesOfParts>
  <Company>Bittium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Poikonen Jouni</dc:creator>
  <cp:lastModifiedBy>Poikonen Jouni</cp:lastModifiedBy>
  <dcterms:created xsi:type="dcterms:W3CDTF">2015-06-04T06:19:23Z</dcterms:created>
  <dcterms:modified xsi:type="dcterms:W3CDTF">2020-07-03T17:33:45Z</dcterms:modified>
</cp:coreProperties>
</file>