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925"/>
  </bookViews>
  <sheets>
    <sheet name="Turnaus" sheetId="2" r:id="rId1"/>
    <sheet name="Perjantai" sheetId="3" r:id="rId2"/>
    <sheet name="Lauantai" sheetId="5" r:id="rId3"/>
    <sheet name="Sunnuntai" sheetId="6" r:id="rId4"/>
    <sheet name="Pisteytys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H36" i="2" l="1"/>
  <c r="H33" i="2"/>
  <c r="H32" i="2"/>
  <c r="H19" i="2"/>
  <c r="O40" i="2"/>
  <c r="O29" i="2"/>
  <c r="O39" i="2"/>
  <c r="O38" i="2"/>
  <c r="O37" i="2"/>
  <c r="O36" i="2"/>
  <c r="O35" i="2"/>
  <c r="O34" i="2"/>
  <c r="O33" i="2"/>
  <c r="O32" i="2"/>
  <c r="O31" i="2"/>
  <c r="O30" i="2"/>
  <c r="I29" i="2"/>
  <c r="O27" i="2"/>
  <c r="O16" i="2"/>
  <c r="O26" i="2"/>
  <c r="O25" i="2"/>
  <c r="O24" i="2"/>
  <c r="O23" i="2"/>
  <c r="O22" i="2"/>
  <c r="O21" i="2"/>
  <c r="O20" i="2"/>
  <c r="O19" i="2"/>
  <c r="O18" i="2"/>
  <c r="O17" i="2"/>
  <c r="I16" i="2"/>
  <c r="O14" i="2"/>
  <c r="O3" i="2"/>
  <c r="O13" i="2"/>
  <c r="O12" i="2"/>
  <c r="O11" i="2"/>
  <c r="O5" i="2"/>
  <c r="O4" i="2"/>
  <c r="I3" i="2"/>
  <c r="A18" i="6"/>
  <c r="A119" i="5"/>
  <c r="A37" i="3"/>
  <c r="Q38" i="2"/>
  <c r="I38" i="2"/>
  <c r="J38" i="2" s="1"/>
  <c r="G38" i="2"/>
  <c r="Q25" i="2"/>
  <c r="I25" i="2"/>
  <c r="H25" i="2"/>
  <c r="G25" i="2"/>
  <c r="J25" i="2" l="1"/>
  <c r="P38" i="2"/>
  <c r="P25" i="2"/>
  <c r="Q12" i="2"/>
  <c r="I12" i="2"/>
  <c r="H12" i="2"/>
  <c r="G12" i="2"/>
  <c r="Q11" i="2"/>
  <c r="I11" i="2"/>
  <c r="H11" i="2"/>
  <c r="G11" i="2"/>
  <c r="Q5" i="2"/>
  <c r="I5" i="2"/>
  <c r="H5" i="2"/>
  <c r="G5" i="2"/>
  <c r="E9" i="2"/>
  <c r="P5" i="2" l="1"/>
  <c r="P11" i="2"/>
  <c r="P12" i="2"/>
  <c r="J5" i="2"/>
  <c r="J12" i="2"/>
  <c r="J11" i="2"/>
  <c r="J13" i="4"/>
  <c r="J12" i="4"/>
  <c r="J11" i="4"/>
  <c r="J10" i="4"/>
  <c r="J9" i="4"/>
  <c r="J8" i="4"/>
  <c r="J7" i="4"/>
  <c r="J6" i="4"/>
  <c r="J5" i="4"/>
  <c r="J4" i="4"/>
  <c r="I12" i="4"/>
  <c r="I11" i="4"/>
  <c r="I10" i="4"/>
  <c r="I9" i="4"/>
  <c r="I8" i="4"/>
  <c r="I7" i="4"/>
  <c r="I6" i="4"/>
  <c r="I5" i="4"/>
  <c r="I4" i="4"/>
  <c r="I14" i="4" s="1"/>
  <c r="H11" i="4"/>
  <c r="H10" i="4"/>
  <c r="H9" i="4"/>
  <c r="H8" i="4"/>
  <c r="H7" i="4"/>
  <c r="H14" i="4" s="1"/>
  <c r="H6" i="4"/>
  <c r="H5" i="4"/>
  <c r="H4" i="4"/>
  <c r="J14" i="4" l="1"/>
  <c r="D7" i="4"/>
  <c r="Q40" i="2"/>
  <c r="Q39" i="2"/>
  <c r="Q37" i="2"/>
  <c r="Q36" i="2"/>
  <c r="Q35" i="2"/>
  <c r="Q34" i="2"/>
  <c r="Q33" i="2"/>
  <c r="Q32" i="2"/>
  <c r="Q31" i="2"/>
  <c r="Q30" i="2"/>
  <c r="Q29" i="2"/>
  <c r="Q27" i="2"/>
  <c r="Q26" i="2"/>
  <c r="Q24" i="2"/>
  <c r="Q23" i="2"/>
  <c r="Q22" i="2"/>
  <c r="Q21" i="2"/>
  <c r="Q20" i="2"/>
  <c r="Q19" i="2"/>
  <c r="Q18" i="2"/>
  <c r="Q17" i="2"/>
  <c r="Q16" i="2"/>
  <c r="Q14" i="2"/>
  <c r="Q13" i="2"/>
  <c r="Q4" i="2"/>
  <c r="Q3" i="2"/>
  <c r="I40" i="2"/>
  <c r="I39" i="2"/>
  <c r="I37" i="2"/>
  <c r="I36" i="2"/>
  <c r="I35" i="2"/>
  <c r="I34" i="2"/>
  <c r="I33" i="2"/>
  <c r="I32" i="2"/>
  <c r="I31" i="2"/>
  <c r="I30" i="2"/>
  <c r="I27" i="2"/>
  <c r="I26" i="2"/>
  <c r="I24" i="2"/>
  <c r="I23" i="2"/>
  <c r="I22" i="2"/>
  <c r="I21" i="2"/>
  <c r="I20" i="2"/>
  <c r="I19" i="2"/>
  <c r="I18" i="2"/>
  <c r="I17" i="2"/>
  <c r="I14" i="2"/>
  <c r="I13" i="2"/>
  <c r="I4" i="2"/>
  <c r="J4" i="2" s="1"/>
  <c r="G3" i="2"/>
  <c r="H40" i="2"/>
  <c r="H31" i="2"/>
  <c r="H29" i="2"/>
  <c r="G29" i="2"/>
  <c r="G40" i="2"/>
  <c r="G39" i="2"/>
  <c r="G37" i="2"/>
  <c r="G36" i="2"/>
  <c r="G35" i="2"/>
  <c r="G34" i="2"/>
  <c r="G33" i="2"/>
  <c r="G32" i="2"/>
  <c r="G31" i="2"/>
  <c r="G30" i="2"/>
  <c r="H27" i="2"/>
  <c r="H26" i="2"/>
  <c r="H24" i="2"/>
  <c r="H23" i="2"/>
  <c r="H22" i="2"/>
  <c r="H21" i="2"/>
  <c r="H20" i="2"/>
  <c r="H18" i="2"/>
  <c r="H17" i="2"/>
  <c r="H14" i="2"/>
  <c r="H13" i="2"/>
  <c r="H4" i="2"/>
  <c r="H16" i="2"/>
  <c r="G27" i="2"/>
  <c r="G26" i="2"/>
  <c r="G24" i="2"/>
  <c r="G23" i="2"/>
  <c r="G22" i="2"/>
  <c r="G21" i="2"/>
  <c r="G20" i="2"/>
  <c r="G19" i="2"/>
  <c r="G18" i="2"/>
  <c r="G17" i="2"/>
  <c r="G16" i="2"/>
  <c r="G14" i="2"/>
  <c r="H3" i="2"/>
  <c r="G13" i="2"/>
  <c r="G4" i="2"/>
  <c r="E10" i="2"/>
  <c r="E8" i="2"/>
  <c r="E7" i="2"/>
  <c r="E6" i="2"/>
  <c r="H16" i="5" l="1"/>
  <c r="H75" i="5"/>
  <c r="H16" i="6"/>
  <c r="F40" i="2" s="1"/>
  <c r="H80" i="5"/>
  <c r="H97" i="5"/>
  <c r="H51" i="5"/>
  <c r="H33" i="5"/>
  <c r="H14" i="3"/>
  <c r="P26" i="2"/>
  <c r="P23" i="2"/>
  <c r="P21" i="2"/>
  <c r="P17" i="2"/>
  <c r="P14" i="2"/>
  <c r="P13" i="2"/>
  <c r="P4" i="2"/>
  <c r="P3" i="2"/>
  <c r="J14" i="2"/>
  <c r="J13" i="2"/>
  <c r="P18" i="2"/>
  <c r="P22" i="2"/>
  <c r="P27" i="2"/>
  <c r="P19" i="2"/>
  <c r="P16" i="2"/>
  <c r="P20" i="2"/>
  <c r="P24" i="2"/>
  <c r="P29" i="2"/>
  <c r="P33" i="2"/>
  <c r="P37" i="2"/>
  <c r="P30" i="2"/>
  <c r="P34" i="2"/>
  <c r="P39" i="2"/>
  <c r="P31" i="2"/>
  <c r="P35" i="2"/>
  <c r="P40" i="2"/>
  <c r="J20" i="2"/>
  <c r="J24" i="2"/>
  <c r="P32" i="2"/>
  <c r="P36" i="2"/>
  <c r="J17" i="2"/>
  <c r="J30" i="2"/>
  <c r="J34" i="2"/>
  <c r="J39" i="2"/>
  <c r="J21" i="2"/>
  <c r="J35" i="2"/>
  <c r="J40" i="2"/>
  <c r="J26" i="2"/>
  <c r="J22" i="2"/>
  <c r="J27" i="2"/>
  <c r="J16" i="2"/>
  <c r="J32" i="2"/>
  <c r="J36" i="2"/>
  <c r="J3" i="2"/>
  <c r="J31" i="2"/>
  <c r="J18" i="2"/>
  <c r="J19" i="2"/>
  <c r="J23" i="2"/>
  <c r="J29" i="2"/>
  <c r="J33" i="2"/>
  <c r="J37" i="2"/>
  <c r="G10" i="4" l="1"/>
  <c r="H22" i="3" s="1"/>
  <c r="G9" i="4"/>
  <c r="H21" i="3" s="1"/>
  <c r="G8" i="4"/>
  <c r="H20" i="3" s="1"/>
  <c r="G6" i="4"/>
  <c r="H18" i="3" s="1"/>
  <c r="G7" i="4"/>
  <c r="H19" i="3" s="1"/>
  <c r="G5" i="4"/>
  <c r="H17" i="3" s="1"/>
  <c r="G4" i="4"/>
  <c r="F9" i="4"/>
  <c r="F8" i="4"/>
  <c r="F7" i="4"/>
  <c r="F6" i="4"/>
  <c r="F5" i="4"/>
  <c r="F4" i="4"/>
  <c r="E8" i="4"/>
  <c r="E7" i="4"/>
  <c r="E6" i="4"/>
  <c r="E5" i="4"/>
  <c r="E4" i="4"/>
  <c r="D6" i="4"/>
  <c r="D5" i="4"/>
  <c r="D4" i="4"/>
  <c r="C6" i="4"/>
  <c r="C5" i="4"/>
  <c r="C4" i="4"/>
  <c r="B5" i="4"/>
  <c r="B4" i="4"/>
  <c r="B14" i="4" s="1"/>
  <c r="H88" i="5" l="1"/>
  <c r="H5" i="5"/>
  <c r="H92" i="5"/>
  <c r="H65" i="5"/>
  <c r="H5" i="6"/>
  <c r="H61" i="5"/>
  <c r="H84" i="5"/>
  <c r="H5" i="3"/>
  <c r="H9" i="3"/>
  <c r="H24" i="5"/>
  <c r="H7" i="6"/>
  <c r="F31" i="2" s="1"/>
  <c r="H99" i="5"/>
  <c r="H18" i="5"/>
  <c r="H53" i="5"/>
  <c r="H7" i="5"/>
  <c r="H42" i="5"/>
  <c r="H31" i="3"/>
  <c r="E14" i="4"/>
  <c r="H28" i="5"/>
  <c r="H103" i="5"/>
  <c r="H22" i="5"/>
  <c r="H57" i="5"/>
  <c r="H11" i="5"/>
  <c r="H46" i="5"/>
  <c r="H35" i="3"/>
  <c r="E30" i="2" s="1"/>
  <c r="H108" i="5"/>
  <c r="H27" i="3"/>
  <c r="H115" i="5"/>
  <c r="H38" i="5"/>
  <c r="M30" i="2"/>
  <c r="N30" i="2" s="1"/>
  <c r="H91" i="5"/>
  <c r="H64" i="5"/>
  <c r="H4" i="6"/>
  <c r="H60" i="5"/>
  <c r="H83" i="5"/>
  <c r="H87" i="5"/>
  <c r="H4" i="5"/>
  <c r="H4" i="3"/>
  <c r="H8" i="3"/>
  <c r="H16" i="3"/>
  <c r="G14" i="4"/>
  <c r="H77" i="5"/>
  <c r="H72" i="5"/>
  <c r="H13" i="5"/>
  <c r="H30" i="5"/>
  <c r="H67" i="5"/>
  <c r="H13" i="6"/>
  <c r="H78" i="5"/>
  <c r="H94" i="5"/>
  <c r="H48" i="5"/>
  <c r="H11" i="3"/>
  <c r="D14" i="4"/>
  <c r="H43" i="5"/>
  <c r="H25" i="5"/>
  <c r="H8" i="6"/>
  <c r="H100" i="5"/>
  <c r="H19" i="5"/>
  <c r="H54" i="5"/>
  <c r="H8" i="5"/>
  <c r="H32" i="3"/>
  <c r="H105" i="5"/>
  <c r="H24" i="3"/>
  <c r="H112" i="5"/>
  <c r="H35" i="5"/>
  <c r="F14" i="4"/>
  <c r="H109" i="5"/>
  <c r="H28" i="3"/>
  <c r="H116" i="5"/>
  <c r="H39" i="5"/>
  <c r="M5" i="2"/>
  <c r="N5" i="2" s="1"/>
  <c r="H3" i="6"/>
  <c r="H59" i="5"/>
  <c r="H82" i="5"/>
  <c r="H86" i="5"/>
  <c r="H3" i="5"/>
  <c r="H90" i="5"/>
  <c r="H63" i="5"/>
  <c r="H7" i="3"/>
  <c r="H3" i="3"/>
  <c r="C14" i="4"/>
  <c r="H14" i="6"/>
  <c r="H95" i="5"/>
  <c r="H73" i="5"/>
  <c r="H68" i="5"/>
  <c r="H49" i="5"/>
  <c r="H31" i="5"/>
  <c r="H32" i="5"/>
  <c r="H70" i="5"/>
  <c r="H74" i="5"/>
  <c r="H69" i="5"/>
  <c r="H14" i="5"/>
  <c r="H12" i="3"/>
  <c r="H55" i="5"/>
  <c r="H9" i="5"/>
  <c r="H44" i="5"/>
  <c r="H26" i="5"/>
  <c r="H9" i="6"/>
  <c r="H101" i="5"/>
  <c r="H20" i="5"/>
  <c r="H33" i="3"/>
  <c r="H113" i="5"/>
  <c r="H36" i="5"/>
  <c r="H106" i="5"/>
  <c r="H25" i="3"/>
  <c r="H117" i="5"/>
  <c r="H40" i="5"/>
  <c r="H110" i="5"/>
  <c r="H29" i="3"/>
  <c r="E5" i="2"/>
  <c r="K16" i="2"/>
  <c r="L16" i="2" s="1"/>
  <c r="F5" i="2"/>
  <c r="H15" i="6"/>
  <c r="H79" i="5"/>
  <c r="H96" i="5"/>
  <c r="H50" i="5"/>
  <c r="H15" i="5"/>
  <c r="H13" i="3"/>
  <c r="H10" i="6"/>
  <c r="H102" i="5"/>
  <c r="H21" i="5"/>
  <c r="H56" i="5"/>
  <c r="H10" i="5"/>
  <c r="F22" i="2" s="1"/>
  <c r="H45" i="5"/>
  <c r="H11" i="6"/>
  <c r="H27" i="5"/>
  <c r="H34" i="3"/>
  <c r="H114" i="5"/>
  <c r="H37" i="5"/>
  <c r="H107" i="5"/>
  <c r="H26" i="3"/>
  <c r="K30" i="2"/>
  <c r="L30" i="2" s="1"/>
  <c r="M39" i="2" l="1"/>
  <c r="N39" i="2" s="1"/>
  <c r="K39" i="2"/>
  <c r="L39" i="2" s="1"/>
  <c r="M27" i="2"/>
  <c r="N27" i="2" s="1"/>
  <c r="K27" i="2"/>
  <c r="L27" i="2" s="1"/>
  <c r="E39" i="2"/>
  <c r="E27" i="2"/>
  <c r="F27" i="2"/>
  <c r="F17" i="2"/>
  <c r="M37" i="2"/>
  <c r="N37" i="2" s="1"/>
  <c r="K37" i="2"/>
  <c r="L37" i="2" s="1"/>
  <c r="E37" i="2"/>
  <c r="E24" i="2"/>
  <c r="M24" i="2"/>
  <c r="N24" i="2" s="1"/>
  <c r="K24" i="2"/>
  <c r="L24" i="2" s="1"/>
  <c r="F24" i="2"/>
  <c r="K12" i="2"/>
  <c r="L12" i="2" s="1"/>
  <c r="F12" i="2"/>
  <c r="M12" i="2"/>
  <c r="N12" i="2" s="1"/>
  <c r="M29" i="2"/>
  <c r="N29" i="2" s="1"/>
  <c r="M18" i="2"/>
  <c r="N18" i="2" s="1"/>
  <c r="K18" i="2"/>
  <c r="L18" i="2" s="1"/>
  <c r="K29" i="2"/>
  <c r="L29" i="2" s="1"/>
  <c r="E12" i="2"/>
  <c r="E29" i="2"/>
  <c r="E18" i="2"/>
  <c r="H119" i="5"/>
  <c r="F21" i="2"/>
  <c r="H18" i="6"/>
  <c r="F29" i="2"/>
  <c r="M23" i="2"/>
  <c r="N23" i="2" s="1"/>
  <c r="K23" i="2"/>
  <c r="L23" i="2" s="1"/>
  <c r="F23" i="2"/>
  <c r="M36" i="2"/>
  <c r="N36" i="2" s="1"/>
  <c r="K36" i="2"/>
  <c r="L36" i="2" s="1"/>
  <c r="E36" i="2"/>
  <c r="E23" i="2"/>
  <c r="F18" i="2"/>
  <c r="F32" i="2"/>
  <c r="F19" i="2"/>
  <c r="M22" i="2"/>
  <c r="N22" i="2" s="1"/>
  <c r="K22" i="2"/>
  <c r="L22" i="2" s="1"/>
  <c r="M4" i="2"/>
  <c r="N4" i="2" s="1"/>
  <c r="K4" i="2"/>
  <c r="L4" i="2" s="1"/>
  <c r="E22" i="2"/>
  <c r="F4" i="2"/>
  <c r="M35" i="2"/>
  <c r="N35" i="2" s="1"/>
  <c r="K35" i="2"/>
  <c r="L35" i="2" s="1"/>
  <c r="E35" i="2"/>
  <c r="E4" i="2"/>
  <c r="M13" i="2"/>
  <c r="N13" i="2" s="1"/>
  <c r="K13" i="2"/>
  <c r="L13" i="2" s="1"/>
  <c r="M33" i="2"/>
  <c r="N33" i="2" s="1"/>
  <c r="K33" i="2"/>
  <c r="L33" i="2" s="1"/>
  <c r="F13" i="2"/>
  <c r="E17" i="2"/>
  <c r="M17" i="2"/>
  <c r="N17" i="2" s="1"/>
  <c r="K17" i="2"/>
  <c r="L17" i="2" s="1"/>
  <c r="E33" i="2"/>
  <c r="E13" i="2"/>
  <c r="H37" i="3"/>
  <c r="F36" i="2"/>
  <c r="M11" i="2"/>
  <c r="N11" i="2" s="1"/>
  <c r="K11" i="2"/>
  <c r="L11" i="2" s="1"/>
  <c r="F11" i="2"/>
  <c r="M21" i="2"/>
  <c r="N21" i="2" s="1"/>
  <c r="K21" i="2"/>
  <c r="L21" i="2" s="1"/>
  <c r="E21" i="2"/>
  <c r="E11" i="2"/>
  <c r="M31" i="2"/>
  <c r="N31" i="2" s="1"/>
  <c r="K31" i="2"/>
  <c r="L31" i="2" s="1"/>
  <c r="F26" i="2"/>
  <c r="M34" i="2"/>
  <c r="N34" i="2" s="1"/>
  <c r="K34" i="2"/>
  <c r="L34" i="2" s="1"/>
  <c r="E34" i="2"/>
  <c r="E20" i="2"/>
  <c r="M20" i="2"/>
  <c r="N20" i="2" s="1"/>
  <c r="K20" i="2"/>
  <c r="L20" i="2" s="1"/>
  <c r="F20" i="2"/>
  <c r="F33" i="2"/>
  <c r="F16" i="2"/>
  <c r="M25" i="2"/>
  <c r="N25" i="2" s="1"/>
  <c r="F25" i="2"/>
  <c r="E25" i="2"/>
  <c r="K25" i="2"/>
  <c r="L25" i="2" s="1"/>
  <c r="M40" i="2"/>
  <c r="N40" i="2" s="1"/>
  <c r="K40" i="2"/>
  <c r="L40" i="2" s="1"/>
  <c r="E40" i="2"/>
  <c r="K38" i="2"/>
  <c r="L38" i="2" s="1"/>
  <c r="E38" i="2"/>
  <c r="M38" i="2"/>
  <c r="N38" i="2" s="1"/>
  <c r="M26" i="2"/>
  <c r="N26" i="2" s="1"/>
  <c r="K26" i="2"/>
  <c r="L26" i="2" s="1"/>
  <c r="E26" i="2"/>
  <c r="M14" i="2"/>
  <c r="N14" i="2" s="1"/>
  <c r="K14" i="2"/>
  <c r="L14" i="2" s="1"/>
  <c r="F14" i="2"/>
  <c r="E14" i="2"/>
  <c r="E16" i="2"/>
  <c r="M16" i="2"/>
  <c r="N16" i="2" s="1"/>
  <c r="M19" i="2"/>
  <c r="N19" i="2" s="1"/>
  <c r="K19" i="2"/>
  <c r="L19" i="2" s="1"/>
  <c r="E3" i="2"/>
  <c r="M3" i="2"/>
  <c r="N3" i="2" s="1"/>
  <c r="M32" i="2"/>
  <c r="N32" i="2" s="1"/>
  <c r="K32" i="2"/>
  <c r="L32" i="2" s="1"/>
  <c r="K3" i="2"/>
  <c r="L3" i="2" s="1"/>
  <c r="E32" i="2"/>
  <c r="F3" i="2"/>
  <c r="E19" i="2"/>
  <c r="K5" i="2"/>
  <c r="L5" i="2" s="1"/>
</calcChain>
</file>

<file path=xl/comments1.xml><?xml version="1.0" encoding="utf-8"?>
<comments xmlns="http://schemas.openxmlformats.org/spreadsheetml/2006/main">
  <authors>
    <author>Poikonen Jouni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0 = viimeinen sija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Poikonen Jouni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0 = viimeinen sija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Poikonen Jouni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0 = viimeinen sija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<sst xmlns="http://schemas.openxmlformats.org/spreadsheetml/2006/main" count="312" uniqueCount="91">
  <si>
    <t>Peli</t>
  </si>
  <si>
    <t>Klo</t>
  </si>
  <si>
    <t>Tulos</t>
  </si>
  <si>
    <t>Pisteet</t>
  </si>
  <si>
    <t>HJ</t>
  </si>
  <si>
    <t>Jabla</t>
  </si>
  <si>
    <t>Päivä</t>
  </si>
  <si>
    <t>7 Wonders</t>
  </si>
  <si>
    <t>Lisätietoa</t>
  </si>
  <si>
    <t>Sija</t>
  </si>
  <si>
    <t>Pisteet eri pelaajamäärillä</t>
  </si>
  <si>
    <t>+ Leaders</t>
  </si>
  <si>
    <t>+ Cities</t>
  </si>
  <si>
    <t>EK</t>
  </si>
  <si>
    <t>Thurn und Taxis</t>
  </si>
  <si>
    <t>Noze</t>
  </si>
  <si>
    <t>Sussu</t>
  </si>
  <si>
    <t>Tony</t>
  </si>
  <si>
    <t>Alhambra</t>
  </si>
  <si>
    <t>Jani</t>
  </si>
  <si>
    <t>Modern Art</t>
  </si>
  <si>
    <t>6 Nimmt!</t>
  </si>
  <si>
    <t>Love Letter</t>
  </si>
  <si>
    <t>Kingdom Builder</t>
  </si>
  <si>
    <t>Web of Power</t>
  </si>
  <si>
    <t>Small World</t>
  </si>
  <si>
    <t>+ Great Dames</t>
  </si>
  <si>
    <t>+ Cursed!</t>
  </si>
  <si>
    <t>+ Be Not Afraid…</t>
  </si>
  <si>
    <t>Tarkistussumma</t>
  </si>
  <si>
    <t>Age of Industry</t>
  </si>
  <si>
    <t>Muutos</t>
  </si>
  <si>
    <t>Pelaaja</t>
  </si>
  <si>
    <t>Pelejä</t>
  </si>
  <si>
    <t>Perjantain</t>
  </si>
  <si>
    <t>jälkeen</t>
  </si>
  <si>
    <t>Lauantain</t>
  </si>
  <si>
    <t>Sunnuntain</t>
  </si>
  <si>
    <t>%</t>
  </si>
  <si>
    <t>Voittoja</t>
  </si>
  <si>
    <t>Viimeisenä</t>
  </si>
  <si>
    <t>Plussalla</t>
  </si>
  <si>
    <t>Miinuksella</t>
  </si>
  <si>
    <t>Kaikkien pelin pisteet yhteensä :)</t>
  </si>
  <si>
    <t>peliä</t>
  </si>
  <si>
    <t>pelaajaa</t>
  </si>
  <si>
    <t>San Juan</t>
  </si>
  <si>
    <t>Aatu</t>
  </si>
  <si>
    <t>Ulla</t>
  </si>
  <si>
    <t>JP</t>
  </si>
  <si>
    <t>Babylon B</t>
  </si>
  <si>
    <t>Olympia B</t>
  </si>
  <si>
    <t>Gizah B</t>
  </si>
  <si>
    <t>Byzantium B</t>
  </si>
  <si>
    <t>Petra A</t>
  </si>
  <si>
    <t>Alexandria B</t>
  </si>
  <si>
    <t>Halikarnassos B</t>
  </si>
  <si>
    <t>Rhodos B</t>
  </si>
  <si>
    <t>The Great Wall A</t>
  </si>
  <si>
    <t>Stonehenge A</t>
  </si>
  <si>
    <t>Manneken Pis A</t>
  </si>
  <si>
    <t>Joking Hazard</t>
  </si>
  <si>
    <t>Halli</t>
  </si>
  <si>
    <t>Mani</t>
  </si>
  <si>
    <t>Dominion</t>
  </si>
  <si>
    <t>+ Alkemia</t>
  </si>
  <si>
    <t>For Sale</t>
  </si>
  <si>
    <t>Boomtown</t>
  </si>
  <si>
    <t>Taluva</t>
  </si>
  <si>
    <t>1 torni</t>
  </si>
  <si>
    <t>9 rahaa</t>
  </si>
  <si>
    <t>5 rahaa</t>
  </si>
  <si>
    <t>aikainen voitto</t>
  </si>
  <si>
    <t>2 tornia, 2 majaa</t>
  </si>
  <si>
    <t>Manneken Pis B</t>
  </si>
  <si>
    <t>Ephesos B</t>
  </si>
  <si>
    <t>Splendor</t>
  </si>
  <si>
    <t>Genial</t>
  </si>
  <si>
    <t>11 seuraavasta</t>
  </si>
  <si>
    <t>10 seuraavasta</t>
  </si>
  <si>
    <t>Sussy</t>
  </si>
  <si>
    <t>Abu Simbel A</t>
  </si>
  <si>
    <t>Roma A</t>
  </si>
  <si>
    <t>Stonehenge B</t>
  </si>
  <si>
    <t>Byzantium A</t>
  </si>
  <si>
    <t>7 rahaa</t>
  </si>
  <si>
    <t>2 rahaa</t>
  </si>
  <si>
    <t>Goa</t>
  </si>
  <si>
    <t>Bonnie &amp; Clyde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</si>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</sst>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20" fontId="0" fillId="0" borderId="0" xfId="0" applyNumberFormat="1"/>
    <xf numFmtId="2" fontId="0" fillId="0" borderId="0" xfId="0" applyNumberFormat="1"/>
    <xf numFmtId="0" fontId="0" fillId="0" borderId="0" xfId="0" quotePrefix="1"/>
    <xf numFmtId="9" fontId="2" fillId="0" borderId="0" xfId="1" applyNumberFormat="1" applyFont="1"/>
    <xf numFmtId="1" fontId="2" fillId="0" borderId="0" xfId="1" applyNumberFormat="1" applyFont="1"/>
    <xf numFmtId="0" fontId="3" fillId="0" borderId="1" xfId="1" applyFont="1" applyBorder="1"/>
    <xf numFmtId="0" fontId="2" fillId="0" borderId="1" xfId="1" applyFont="1" applyBorder="1"/>
    <xf numFmtId="9" fontId="2" fillId="0" borderId="1" xfId="1" applyNumberFormat="1" applyFont="1" applyBorder="1"/>
    <xf numFmtId="1" fontId="2" fillId="0" borderId="1" xfId="1" applyNumberFormat="1" applyFont="1" applyBorder="1"/>
    <xf numFmtId="0" fontId="2" fillId="0" borderId="0" xfId="1" applyFont="1" applyBorder="1"/>
    <xf numFmtId="9" fontId="2" fillId="0" borderId="0" xfId="1" applyNumberFormat="1" applyFont="1" applyBorder="1"/>
    <xf numFmtId="1" fontId="2" fillId="0" borderId="0" xfId="1" applyNumberFormat="1" applyFont="1" applyBorder="1"/>
    <xf numFmtId="0" fontId="2" fillId="0" borderId="2" xfId="1" applyFont="1" applyBorder="1"/>
    <xf numFmtId="9" fontId="2" fillId="0" borderId="2" xfId="1" applyNumberFormat="1" applyFont="1" applyBorder="1"/>
    <xf numFmtId="1" fontId="2" fillId="0" borderId="2" xfId="1" applyNumberFormat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2" fontId="2" fillId="0" borderId="3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1" applyNumberFormat="1" applyFont="1" applyBorder="1"/>
    <xf numFmtId="2" fontId="2" fillId="0" borderId="7" xfId="1" applyNumberFormat="1" applyFont="1" applyBorder="1"/>
    <xf numFmtId="2" fontId="2" fillId="0" borderId="8" xfId="1" applyNumberFormat="1" applyFont="1" applyBorder="1"/>
    <xf numFmtId="164" fontId="2" fillId="0" borderId="4" xfId="1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9" fontId="2" fillId="0" borderId="4" xfId="1" applyNumberFormat="1" applyFont="1" applyBorder="1"/>
    <xf numFmtId="9" fontId="2" fillId="0" borderId="6" xfId="1" applyNumberFormat="1" applyFont="1" applyBorder="1"/>
    <xf numFmtId="9" fontId="2" fillId="0" borderId="8" xfId="1" applyNumberFormat="1" applyFont="1" applyBorder="1"/>
    <xf numFmtId="0" fontId="2" fillId="0" borderId="3" xfId="1" applyNumberFormat="1" applyFont="1" applyBorder="1"/>
    <xf numFmtId="0" fontId="2" fillId="0" borderId="5" xfId="1" applyNumberFormat="1" applyFont="1" applyBorder="1"/>
    <xf numFmtId="0" fontId="2" fillId="0" borderId="7" xfId="1" applyNumberFormat="1" applyFont="1" applyBorder="1"/>
    <xf numFmtId="1" fontId="3" fillId="0" borderId="0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Bittium 2015 colors">
      <a:dk1>
        <a:srgbClr val="000000"/>
      </a:dk1>
      <a:lt1>
        <a:srgbClr val="FFFFFF"/>
      </a:lt1>
      <a:dk2>
        <a:srgbClr val="51626F"/>
      </a:dk2>
      <a:lt2>
        <a:srgbClr val="E0E6E6"/>
      </a:lt2>
      <a:accent1>
        <a:srgbClr val="6F9AD3"/>
      </a:accent1>
      <a:accent2>
        <a:srgbClr val="51626F"/>
      </a:accent2>
      <a:accent3>
        <a:srgbClr val="FFCB4F"/>
      </a:accent3>
      <a:accent4>
        <a:srgbClr val="C966CD"/>
      </a:accent4>
      <a:accent5>
        <a:srgbClr val="C3E76F"/>
      </a:accent5>
      <a:accent6>
        <a:srgbClr val="DCDCDC"/>
      </a:accent6>
      <a:hlink>
        <a:srgbClr val="009EE8"/>
      </a:hlink>
      <a:folHlink>
        <a:srgbClr val="00BFFA"/>
      </a:folHlink>
    </a:clrScheme>
    <a:fontScheme name="Bittium 2015 Calibri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120" zoomScaleNormal="120" workbookViewId="0"/>
  </sheetViews>
  <sheetFormatPr defaultRowHeight="12.75" x14ac:dyDescent="0.2"/>
  <cols>
    <col min="1" max="1" width="13.140625" style="1" customWidth="1"/>
    <col min="2" max="2" width="9.140625" style="19"/>
    <col min="3" max="3" width="9.140625" style="20"/>
    <col min="4" max="4" width="9.140625" style="1"/>
    <col min="5" max="5" width="9.140625" style="25"/>
    <col min="6" max="6" width="9.140625" style="26"/>
    <col min="7" max="7" width="9.140625" style="19"/>
    <col min="8" max="8" width="9.140625" style="30"/>
    <col min="9" max="9" width="9.140625" style="19"/>
    <col min="10" max="10" width="9.140625" style="33"/>
    <col min="11" max="11" width="9.140625" style="19"/>
    <col min="12" max="12" width="9.140625" style="33"/>
    <col min="13" max="13" width="9.140625" style="19"/>
    <col min="14" max="14" width="9.140625" style="33"/>
    <col min="15" max="15" width="9.140625" style="36"/>
    <col min="16" max="16" width="9.140625" style="33"/>
    <col min="17" max="17" width="9.140625" style="6"/>
    <col min="18" max="18" width="9.140625" style="5"/>
    <col min="19" max="19" width="9.140625" style="1"/>
    <col min="20" max="20" width="9.140625" style="5"/>
    <col min="21" max="21" width="9.140625" style="1"/>
    <col min="22" max="22" width="9.140625" style="5"/>
    <col min="23" max="16384" width="9.140625" style="1"/>
  </cols>
  <sheetData>
    <row r="1" spans="1:22" x14ac:dyDescent="0.2">
      <c r="A1" s="1" t="s">
        <v>6</v>
      </c>
      <c r="B1" s="17" t="s">
        <v>9</v>
      </c>
      <c r="C1" s="18" t="s">
        <v>31</v>
      </c>
      <c r="D1" s="1" t="s">
        <v>32</v>
      </c>
      <c r="E1" s="23" t="s">
        <v>3</v>
      </c>
      <c r="F1" s="24" t="s">
        <v>31</v>
      </c>
      <c r="G1" s="17" t="s">
        <v>33</v>
      </c>
      <c r="H1" s="29" t="s">
        <v>31</v>
      </c>
      <c r="I1" s="17" t="s">
        <v>39</v>
      </c>
      <c r="J1" s="32" t="s">
        <v>38</v>
      </c>
      <c r="K1" s="17" t="s">
        <v>41</v>
      </c>
      <c r="L1" s="32" t="s">
        <v>38</v>
      </c>
      <c r="M1" s="17" t="s">
        <v>42</v>
      </c>
      <c r="N1" s="32" t="s">
        <v>38</v>
      </c>
      <c r="O1" s="35" t="s">
        <v>40</v>
      </c>
      <c r="P1" s="32" t="s">
        <v>38</v>
      </c>
      <c r="Q1" s="6" t="s">
        <v>43</v>
      </c>
    </row>
    <row r="3" spans="1:22" s="8" customFormat="1" x14ac:dyDescent="0.2">
      <c r="A3" s="7" t="s">
        <v>34</v>
      </c>
      <c r="B3" s="17">
        <v>1</v>
      </c>
      <c r="C3" s="18"/>
      <c r="D3" s="8" t="s">
        <v>15</v>
      </c>
      <c r="E3" s="23">
        <f>SUMIF(Perjantai!D:D,Turnaus!D3,Perjantai!H:H)</f>
        <v>6.3238095238095244</v>
      </c>
      <c r="F3" s="24">
        <f>SUMIF(Perjantai!D:D,Turnaus!D3,Perjantai!H:H)</f>
        <v>6.3238095238095244</v>
      </c>
      <c r="G3" s="17">
        <f>COUNTIF(Perjantai!D:D,D3)</f>
        <v>5</v>
      </c>
      <c r="H3" s="29">
        <f>COUNTIF(Perjantai!D:D,D3)</f>
        <v>5</v>
      </c>
      <c r="I3" s="17">
        <f>COUNTIFS(Perjantai!D:D,D3,Perjantai!C:C,1)</f>
        <v>2</v>
      </c>
      <c r="J3" s="32">
        <f>I3/$G3</f>
        <v>0.4</v>
      </c>
      <c r="K3" s="17">
        <f>COUNTIFS(Perjantai!D:D,D3,Perjantai!H:H,"&gt;0")</f>
        <v>4</v>
      </c>
      <c r="L3" s="32">
        <f>K3/$G3</f>
        <v>0.8</v>
      </c>
      <c r="M3" s="17">
        <f>COUNTIFS(Perjantai!D:D,D3,Perjantai!H:H,"&lt;0")</f>
        <v>1</v>
      </c>
      <c r="N3" s="32">
        <f>M3/$G3</f>
        <v>0.2</v>
      </c>
      <c r="O3" s="35">
        <f>COUNTIFS(Perjantai!D:D,D3,Perjantai!C:C,0)</f>
        <v>1</v>
      </c>
      <c r="P3" s="32">
        <f>O3/$G3</f>
        <v>0.2</v>
      </c>
      <c r="Q3" s="10">
        <f>SUMIF(Perjantai!D:D,Turnaus!D3,Perjantai!F:F)</f>
        <v>272</v>
      </c>
      <c r="R3" s="9"/>
      <c r="T3" s="9"/>
      <c r="V3" s="9"/>
    </row>
    <row r="4" spans="1:22" s="11" customFormat="1" x14ac:dyDescent="0.2">
      <c r="A4" s="11" t="s">
        <v>35</v>
      </c>
      <c r="B4" s="19">
        <v>2</v>
      </c>
      <c r="C4" s="20"/>
      <c r="D4" s="11" t="s">
        <v>48</v>
      </c>
      <c r="E4" s="25">
        <f>SUMIF(Perjantai!D:D,Turnaus!D4,Perjantai!H:H)</f>
        <v>5.2404761904761914</v>
      </c>
      <c r="F4" s="26">
        <f>SUMIF(Perjantai!D:D,Turnaus!D4,Perjantai!H:H)</f>
        <v>5.2404761904761914</v>
      </c>
      <c r="G4" s="19">
        <f>COUNTIF(Perjantai!D:D,D4)</f>
        <v>4</v>
      </c>
      <c r="H4" s="30">
        <f>COUNTIF(Perjantai!D:D,D4)</f>
        <v>4</v>
      </c>
      <c r="I4" s="19">
        <f>COUNTIFS(Perjantai!D:D,D4,Perjantai!C:C,1)</f>
        <v>1</v>
      </c>
      <c r="J4" s="33">
        <f>I4/$G4</f>
        <v>0.25</v>
      </c>
      <c r="K4" s="19">
        <f>COUNTIFS(Perjantai!D:D,D4,Perjantai!H:H,"&gt;0")</f>
        <v>4</v>
      </c>
      <c r="L4" s="33">
        <f>K4/$G4</f>
        <v>1</v>
      </c>
      <c r="M4" s="19">
        <f>COUNTIFS(Perjantai!D:D,D4,Perjantai!H:H,"&lt;0")</f>
        <v>0</v>
      </c>
      <c r="N4" s="33">
        <f>M4/$G4</f>
        <v>0</v>
      </c>
      <c r="O4" s="36">
        <f>COUNTIFS(Perjantai!D:D,D4,Perjantai!C:C,0)</f>
        <v>0</v>
      </c>
      <c r="P4" s="33">
        <f>O4/$G4</f>
        <v>0</v>
      </c>
      <c r="Q4" s="13">
        <f>SUMIF(Perjantai!D:D,Turnaus!D4,Perjantai!F:F)</f>
        <v>592</v>
      </c>
      <c r="R4" s="12"/>
      <c r="T4" s="12"/>
      <c r="V4" s="12"/>
    </row>
    <row r="5" spans="1:22" s="11" customFormat="1" x14ac:dyDescent="0.2">
      <c r="B5" s="19">
        <v>3</v>
      </c>
      <c r="C5" s="20"/>
      <c r="D5" s="11" t="s">
        <v>49</v>
      </c>
      <c r="E5" s="25">
        <f>SUMIF(Perjantai!D:D,Turnaus!D5,Perjantai!H:H)</f>
        <v>0.24047619047619051</v>
      </c>
      <c r="F5" s="26">
        <f>SUMIF(Perjantai!D:D,Turnaus!D5,Perjantai!H:H)</f>
        <v>0.24047619047619051</v>
      </c>
      <c r="G5" s="19">
        <f>COUNTIF(Perjantai!D:D,D5)</f>
        <v>4</v>
      </c>
      <c r="H5" s="30">
        <f>COUNTIF(Perjantai!D:D,D5)</f>
        <v>4</v>
      </c>
      <c r="I5" s="19">
        <f>COUNTIFS(Perjantai!D:D,D5,Perjantai!C:C,1)</f>
        <v>1</v>
      </c>
      <c r="J5" s="33">
        <f>I5/$G5</f>
        <v>0.25</v>
      </c>
      <c r="K5" s="19">
        <f>COUNTIFS(Perjantai!D:D,D5,Perjantai!H:H,"&gt;0")</f>
        <v>2</v>
      </c>
      <c r="L5" s="33">
        <f>K5/$G5</f>
        <v>0.5</v>
      </c>
      <c r="M5" s="19">
        <f>COUNTIFS(Perjantai!D:D,D5,Perjantai!H:H,"&lt;0")</f>
        <v>2</v>
      </c>
      <c r="N5" s="33">
        <f>M5/$G5</f>
        <v>0.5</v>
      </c>
      <c r="O5" s="36">
        <f>COUNTIFS(Perjantai!D:D,D5,Perjantai!C:C,0)</f>
        <v>2</v>
      </c>
      <c r="P5" s="33">
        <f>O5/$G5</f>
        <v>0.5</v>
      </c>
      <c r="Q5" s="13">
        <f>SUMIF(Perjantai!D:D,Turnaus!D5,Perjantai!F:F)</f>
        <v>497</v>
      </c>
      <c r="R5" s="12"/>
      <c r="T5" s="12"/>
      <c r="V5" s="12"/>
    </row>
    <row r="6" spans="1:22" s="11" customFormat="1" x14ac:dyDescent="0.2">
      <c r="B6" s="19">
        <v>4</v>
      </c>
      <c r="C6" s="20"/>
      <c r="D6" s="11" t="s">
        <v>13</v>
      </c>
      <c r="E6" s="25">
        <f>SUMIF(Perjantai!D:D,Turnaus!D6,Perjantai!H:H)</f>
        <v>0</v>
      </c>
      <c r="F6" s="26"/>
      <c r="G6" s="19"/>
      <c r="H6" s="30"/>
      <c r="I6" s="19"/>
      <c r="J6" s="33"/>
      <c r="K6" s="19"/>
      <c r="L6" s="33"/>
      <c r="M6" s="19"/>
      <c r="N6" s="33"/>
      <c r="O6" s="36"/>
      <c r="P6" s="33"/>
      <c r="Q6" s="13"/>
      <c r="R6" s="12"/>
      <c r="T6" s="12"/>
      <c r="V6" s="12"/>
    </row>
    <row r="7" spans="1:22" s="11" customFormat="1" x14ac:dyDescent="0.2">
      <c r="B7" s="19"/>
      <c r="C7" s="20"/>
      <c r="D7" s="11" t="s">
        <v>62</v>
      </c>
      <c r="E7" s="25">
        <f>SUMIF(Perjantai!D:D,Turnaus!D7,Perjantai!H:H)</f>
        <v>0</v>
      </c>
      <c r="F7" s="26"/>
      <c r="G7" s="19"/>
      <c r="H7" s="30"/>
      <c r="I7" s="19"/>
      <c r="J7" s="33"/>
      <c r="K7" s="19"/>
      <c r="L7" s="33"/>
      <c r="M7" s="19"/>
      <c r="N7" s="33"/>
      <c r="O7" s="36"/>
      <c r="P7" s="33"/>
      <c r="Q7" s="13"/>
      <c r="R7" s="12"/>
      <c r="T7" s="12"/>
      <c r="V7" s="12"/>
    </row>
    <row r="8" spans="1:22" s="11" customFormat="1" x14ac:dyDescent="0.2">
      <c r="B8" s="19"/>
      <c r="C8" s="20"/>
      <c r="D8" s="11" t="s">
        <v>19</v>
      </c>
      <c r="E8" s="25">
        <f>SUMIF(Perjantai!D:D,Turnaus!D8,Perjantai!H:H)</f>
        <v>0</v>
      </c>
      <c r="F8" s="26"/>
      <c r="G8" s="19"/>
      <c r="H8" s="30"/>
      <c r="I8" s="19"/>
      <c r="J8" s="33"/>
      <c r="K8" s="19"/>
      <c r="L8" s="33"/>
      <c r="M8" s="19"/>
      <c r="N8" s="33"/>
      <c r="O8" s="36"/>
      <c r="P8" s="33"/>
      <c r="Q8" s="13"/>
      <c r="R8" s="12"/>
      <c r="T8" s="12"/>
      <c r="V8" s="12"/>
    </row>
    <row r="9" spans="1:22" s="11" customFormat="1" x14ac:dyDescent="0.2">
      <c r="B9" s="19"/>
      <c r="C9" s="20"/>
      <c r="D9" s="11" t="s">
        <v>63</v>
      </c>
      <c r="E9" s="25">
        <f>SUMIF(Perjantai!D:D,Turnaus!D9,Perjantai!H:H)</f>
        <v>0</v>
      </c>
      <c r="F9" s="26"/>
      <c r="G9" s="19"/>
      <c r="H9" s="30"/>
      <c r="I9" s="19"/>
      <c r="J9" s="33"/>
      <c r="K9" s="19"/>
      <c r="L9" s="33"/>
      <c r="M9" s="19"/>
      <c r="N9" s="33"/>
      <c r="O9" s="36"/>
      <c r="P9" s="33"/>
      <c r="Q9" s="13"/>
      <c r="R9" s="12"/>
      <c r="T9" s="12"/>
      <c r="V9" s="12"/>
    </row>
    <row r="10" spans="1:22" s="11" customFormat="1" x14ac:dyDescent="0.2">
      <c r="B10" s="19"/>
      <c r="C10" s="20"/>
      <c r="D10" s="11" t="s">
        <v>16</v>
      </c>
      <c r="E10" s="25">
        <f>SUMIF(Perjantai!D:D,Turnaus!D10,Perjantai!H:H)</f>
        <v>0</v>
      </c>
      <c r="F10" s="26"/>
      <c r="G10" s="19"/>
      <c r="H10" s="30"/>
      <c r="I10" s="19"/>
      <c r="J10" s="33"/>
      <c r="K10" s="19"/>
      <c r="L10" s="33"/>
      <c r="M10" s="19"/>
      <c r="N10" s="33"/>
      <c r="O10" s="36"/>
      <c r="P10" s="33"/>
      <c r="Q10" s="13"/>
      <c r="R10" s="12"/>
      <c r="T10" s="12"/>
      <c r="V10" s="12"/>
    </row>
    <row r="11" spans="1:22" s="11" customFormat="1" x14ac:dyDescent="0.2">
      <c r="B11" s="19">
        <v>9</v>
      </c>
      <c r="C11" s="20"/>
      <c r="D11" s="11" t="s">
        <v>47</v>
      </c>
      <c r="E11" s="25">
        <f>SUMIF(Perjantai!D:D,Turnaus!D11,Perjantai!H:H)</f>
        <v>-1.7595238095238095</v>
      </c>
      <c r="F11" s="26">
        <f>SUMIF(Perjantai!D:D,Turnaus!D11,Perjantai!H:H)</f>
        <v>-1.7595238095238095</v>
      </c>
      <c r="G11" s="19">
        <f>COUNTIF(Perjantai!D:D,D11)</f>
        <v>4</v>
      </c>
      <c r="H11" s="30">
        <f>COUNTIF(Perjantai!D:D,D11)</f>
        <v>4</v>
      </c>
      <c r="I11" s="19">
        <f>COUNTIFS(Perjantai!D:D,D11,Perjantai!C:C,1)</f>
        <v>1</v>
      </c>
      <c r="J11" s="33">
        <f>I11/$G11</f>
        <v>0.25</v>
      </c>
      <c r="K11" s="19">
        <f>COUNTIFS(Perjantai!D:D,D11,Perjantai!H:H,"&gt;0")</f>
        <v>1</v>
      </c>
      <c r="L11" s="33">
        <f>K11/$G11</f>
        <v>0.25</v>
      </c>
      <c r="M11" s="19">
        <f>COUNTIFS(Perjantai!D:D,D11,Perjantai!H:H,"&lt;0")</f>
        <v>3</v>
      </c>
      <c r="N11" s="33">
        <f>M11/$G11</f>
        <v>0.75</v>
      </c>
      <c r="O11" s="36">
        <f>COUNTIFS(Perjantai!D:D,D11,Perjantai!C:C,0)</f>
        <v>1</v>
      </c>
      <c r="P11" s="33">
        <f>O11/$G11</f>
        <v>0.25</v>
      </c>
      <c r="Q11" s="38">
        <f>SUMIF(Perjantai!D:D,Turnaus!D11,Perjantai!F:F)</f>
        <v>729</v>
      </c>
      <c r="R11" s="12"/>
      <c r="T11" s="12"/>
      <c r="V11" s="12"/>
    </row>
    <row r="12" spans="1:22" s="11" customFormat="1" x14ac:dyDescent="0.2">
      <c r="B12" s="19">
        <v>10</v>
      </c>
      <c r="C12" s="20"/>
      <c r="D12" s="11" t="s">
        <v>5</v>
      </c>
      <c r="E12" s="25">
        <f>SUMIF(Perjantai!D:D,Turnaus!D12,Perjantai!H:H)</f>
        <v>-2.676190476190476</v>
      </c>
      <c r="F12" s="26">
        <f>SUMIF(Perjantai!D:D,Turnaus!D12,Perjantai!H:H)</f>
        <v>-2.676190476190476</v>
      </c>
      <c r="G12" s="19">
        <f>COUNTIF(Perjantai!D:D,D12)</f>
        <v>5</v>
      </c>
      <c r="H12" s="30">
        <f>COUNTIF(Perjantai!D:D,D12)</f>
        <v>5</v>
      </c>
      <c r="I12" s="19">
        <f>COUNTIFS(Perjantai!D:D,D12,Perjantai!C:C,1)</f>
        <v>1</v>
      </c>
      <c r="J12" s="33">
        <f>I12/$G12</f>
        <v>0.2</v>
      </c>
      <c r="K12" s="19">
        <f>COUNTIFS(Perjantai!D:D,D12,Perjantai!H:H,"&gt;0")</f>
        <v>1</v>
      </c>
      <c r="L12" s="33">
        <f>K12/$G12</f>
        <v>0.2</v>
      </c>
      <c r="M12" s="19">
        <f>COUNTIFS(Perjantai!D:D,D12,Perjantai!H:H,"&lt;0")</f>
        <v>4</v>
      </c>
      <c r="N12" s="33">
        <f>M12/$G12</f>
        <v>0.8</v>
      </c>
      <c r="O12" s="36">
        <f>COUNTIFS(Perjantai!D:D,D12,Perjantai!C:C,0)</f>
        <v>1</v>
      </c>
      <c r="P12" s="33">
        <f>O12/$G12</f>
        <v>0.2</v>
      </c>
      <c r="Q12" s="13">
        <f>SUMIF(Perjantai!D:D,Turnaus!D12,Perjantai!F:F)</f>
        <v>221</v>
      </c>
      <c r="R12" s="12"/>
      <c r="T12" s="12"/>
      <c r="V12" s="12"/>
    </row>
    <row r="13" spans="1:22" s="11" customFormat="1" x14ac:dyDescent="0.2">
      <c r="B13" s="19">
        <v>11</v>
      </c>
      <c r="C13" s="20"/>
      <c r="D13" s="11" t="s">
        <v>4</v>
      </c>
      <c r="E13" s="25">
        <f>SUMIF(Perjantai!D:D,Turnaus!D13,Perjantai!H:H)</f>
        <v>-3.4761904761904758</v>
      </c>
      <c r="F13" s="26">
        <f>SUMIF(Perjantai!D:D,Turnaus!D13,Perjantai!H:H)</f>
        <v>-3.4761904761904758</v>
      </c>
      <c r="G13" s="19">
        <f>COUNTIF(Perjantai!D:D,D13)</f>
        <v>4</v>
      </c>
      <c r="H13" s="30">
        <f>COUNTIF(Perjantai!D:D,D13)</f>
        <v>4</v>
      </c>
      <c r="I13" s="19">
        <f>COUNTIFS(Perjantai!D:D,D13,Perjantai!C:C,1)</f>
        <v>0</v>
      </c>
      <c r="J13" s="33">
        <f>I13/$G13</f>
        <v>0</v>
      </c>
      <c r="K13" s="19">
        <f>COUNTIFS(Perjantai!D:D,D13,Perjantai!H:H,"&gt;0")</f>
        <v>0</v>
      </c>
      <c r="L13" s="33">
        <f>K13/$G13</f>
        <v>0</v>
      </c>
      <c r="M13" s="19">
        <f>COUNTIFS(Perjantai!D:D,D13,Perjantai!H:H,"&lt;0")</f>
        <v>4</v>
      </c>
      <c r="N13" s="33">
        <f>M13/$G13</f>
        <v>1</v>
      </c>
      <c r="O13" s="36">
        <f>COUNTIFS(Perjantai!D:D,D13,Perjantai!C:C,0)</f>
        <v>0</v>
      </c>
      <c r="P13" s="33">
        <f>O13/$G13</f>
        <v>0</v>
      </c>
      <c r="Q13" s="13">
        <f>SUMIF(Perjantai!D:D,Turnaus!D13,Perjantai!F:F)</f>
        <v>251</v>
      </c>
      <c r="R13" s="12"/>
      <c r="T13" s="12"/>
      <c r="V13" s="12"/>
    </row>
    <row r="14" spans="1:22" s="14" customFormat="1" x14ac:dyDescent="0.2">
      <c r="B14" s="21">
        <v>12</v>
      </c>
      <c r="C14" s="22"/>
      <c r="D14" s="14" t="s">
        <v>17</v>
      </c>
      <c r="E14" s="27">
        <f>SUMIF(Perjantai!D:D,Turnaus!D14,Perjantai!H:H)</f>
        <v>-3.8928571428571428</v>
      </c>
      <c r="F14" s="28">
        <f>SUMIF(Perjantai!D:D,Turnaus!D14,Perjantai!H:H)</f>
        <v>-3.8928571428571428</v>
      </c>
      <c r="G14" s="21">
        <f>COUNTIF(Perjantai!D:D,D14)</f>
        <v>2</v>
      </c>
      <c r="H14" s="31">
        <f>COUNTIF(Perjantai!D:D,D14)</f>
        <v>2</v>
      </c>
      <c r="I14" s="21">
        <f>COUNTIFS(Perjantai!D:D,D14,Perjantai!C:C,1)</f>
        <v>0</v>
      </c>
      <c r="J14" s="34">
        <f>I14/$G14</f>
        <v>0</v>
      </c>
      <c r="K14" s="21">
        <f>COUNTIFS(Perjantai!D:D,D14,Perjantai!H:H,"&gt;0")</f>
        <v>0</v>
      </c>
      <c r="L14" s="34">
        <f>K14/$G14</f>
        <v>0</v>
      </c>
      <c r="M14" s="21">
        <f>COUNTIFS(Perjantai!D:D,D14,Perjantai!H:H,"&lt;0")</f>
        <v>2</v>
      </c>
      <c r="N14" s="34">
        <f>M14/$G14</f>
        <v>1</v>
      </c>
      <c r="O14" s="37">
        <f>COUNTIFS(Perjantai!D:D,D14,Perjantai!C:C,0)</f>
        <v>1</v>
      </c>
      <c r="P14" s="34">
        <f>O14/$G14</f>
        <v>0.5</v>
      </c>
      <c r="Q14" s="16">
        <f>SUMIF(Perjantai!D:D,Turnaus!D14,Perjantai!F:F)</f>
        <v>495</v>
      </c>
      <c r="R14" s="15"/>
      <c r="T14" s="15"/>
      <c r="V14" s="15"/>
    </row>
    <row r="16" spans="1:22" s="8" customFormat="1" x14ac:dyDescent="0.2">
      <c r="A16" s="7" t="s">
        <v>36</v>
      </c>
      <c r="B16" s="17">
        <v>1</v>
      </c>
      <c r="C16" s="18">
        <v>2</v>
      </c>
      <c r="D16" s="8" t="s">
        <v>49</v>
      </c>
      <c r="E16" s="23">
        <f>SUMIF(Perjantai!D:D,Turnaus!D16,Perjantai!H:H)+SUMIF(Lauantai!D:D,Turnaus!D16,Lauantai!H:H)</f>
        <v>6.5404761904761903</v>
      </c>
      <c r="F16" s="24">
        <f>SUMIF(Lauantai!D:D,Turnaus!D16,Lauantai!H:H)</f>
        <v>6.3</v>
      </c>
      <c r="G16" s="17">
        <f>COUNTIF(Perjantai!D:D,D16)+COUNTIF(Lauantai!D:D,D16)</f>
        <v>9</v>
      </c>
      <c r="H16" s="29">
        <f>COUNTIF(Lauantai!D:D,D16)</f>
        <v>5</v>
      </c>
      <c r="I16" s="17">
        <f>COUNTIFS(Perjantai!D:D,D16,Perjantai!C:C,1)+COUNTIFS(Lauantai!D:D,D16,Lauantai!C:C,1)</f>
        <v>4</v>
      </c>
      <c r="J16" s="32">
        <f t="shared" ref="J16:J27" si="0">I16/$G16</f>
        <v>0.44444444444444442</v>
      </c>
      <c r="K16" s="17">
        <f>COUNTIFS(Perjantai!D:D,D16,Perjantai!H:H,"&gt;0")+COUNTIFS(Lauantai!D:D,D16,Lauantai!H:H,"&gt;0")</f>
        <v>6</v>
      </c>
      <c r="L16" s="32">
        <f t="shared" ref="L16:L27" si="1">K16/$G16</f>
        <v>0.66666666666666663</v>
      </c>
      <c r="M16" s="17">
        <f>COUNTIFS(Perjantai!D:D,D16,Perjantai!H:H,"&lt;0")+COUNTIFS(Lauantai!D:D,D16,Lauantai!H:H,"&lt;0")</f>
        <v>3</v>
      </c>
      <c r="N16" s="32">
        <f t="shared" ref="N16:N27" si="2">M16/$G16</f>
        <v>0.33333333333333331</v>
      </c>
      <c r="O16" s="35">
        <f>COUNTIFS(Perjantai!D:D,D16,Perjantai!C:C,0)+COUNTIFS(Lauantai!D:D,D16,Lauantai!C:C,0)</f>
        <v>2</v>
      </c>
      <c r="P16" s="32">
        <f t="shared" ref="P16:P27" si="3">O16/$G16</f>
        <v>0.22222222222222221</v>
      </c>
      <c r="Q16" s="10">
        <f>SUMIF(Perjantai!D:D,Turnaus!D16,Perjantai!F:F)+SUMIF(Lauantai!D:D,Turnaus!D16,Lauantai!F:F)</f>
        <v>683</v>
      </c>
      <c r="R16" s="9"/>
      <c r="T16" s="9"/>
      <c r="V16" s="9"/>
    </row>
    <row r="17" spans="1:22" s="11" customFormat="1" x14ac:dyDescent="0.2">
      <c r="A17" s="11" t="s">
        <v>35</v>
      </c>
      <c r="B17" s="19">
        <v>2</v>
      </c>
      <c r="C17" s="20">
        <v>9</v>
      </c>
      <c r="D17" s="11" t="s">
        <v>4</v>
      </c>
      <c r="E17" s="25">
        <f>SUMIF(Perjantai!D:D,Turnaus!D17,Perjantai!H:H)+SUMIF(Lauantai!D:D,Turnaus!D17,Lauantai!H:H)</f>
        <v>5.3571428571428577</v>
      </c>
      <c r="F17" s="26">
        <f>SUMIF(Lauantai!D:D,Turnaus!D17,Lauantai!H:H)</f>
        <v>8.8333333333333339</v>
      </c>
      <c r="G17" s="19">
        <f>COUNTIF(Perjantai!D:D,D17)+COUNTIF(Lauantai!D:D,D17)</f>
        <v>14</v>
      </c>
      <c r="H17" s="30">
        <f>COUNTIF(Lauantai!D:D,D17)</f>
        <v>10</v>
      </c>
      <c r="I17" s="19">
        <f>COUNTIFS(Perjantai!D:D,D17,Perjantai!C:C,1)+COUNTIFS(Lauantai!D:D,D17,Lauantai!C:C,1)</f>
        <v>4</v>
      </c>
      <c r="J17" s="33">
        <f t="shared" si="0"/>
        <v>0.2857142857142857</v>
      </c>
      <c r="K17" s="19">
        <f>COUNTIFS(Perjantai!D:D,D17,Perjantai!H:H,"&gt;0")+COUNTIFS(Lauantai!D:D,D17,Lauantai!H:H,"&gt;0")</f>
        <v>6</v>
      </c>
      <c r="L17" s="33">
        <f t="shared" si="1"/>
        <v>0.42857142857142855</v>
      </c>
      <c r="M17" s="19">
        <f>COUNTIFS(Perjantai!D:D,D17,Perjantai!H:H,"&lt;0")+COUNTIFS(Lauantai!D:D,D17,Lauantai!H:H,"&lt;0")</f>
        <v>8</v>
      </c>
      <c r="N17" s="33">
        <f t="shared" si="2"/>
        <v>0.5714285714285714</v>
      </c>
      <c r="O17" s="36">
        <f>COUNTIFS(Perjantai!D:D,D17,Perjantai!C:C,0)+COUNTIFS(Lauantai!D:D,D17,Lauantai!C:C,0)</f>
        <v>2</v>
      </c>
      <c r="P17" s="33">
        <f t="shared" si="3"/>
        <v>0.14285714285714285</v>
      </c>
      <c r="Q17" s="13">
        <f>SUMIF(Perjantai!D:D,Turnaus!D17,Perjantai!F:F)+SUMIF(Lauantai!D:D,Turnaus!D17,Lauantai!F:F)</f>
        <v>808</v>
      </c>
      <c r="R17" s="12"/>
      <c r="T17" s="12"/>
      <c r="V17" s="12"/>
    </row>
    <row r="18" spans="1:22" s="11" customFormat="1" x14ac:dyDescent="0.2">
      <c r="B18" s="19">
        <v>3</v>
      </c>
      <c r="C18" s="20">
        <v>7</v>
      </c>
      <c r="D18" s="11" t="s">
        <v>5</v>
      </c>
      <c r="E18" s="25">
        <f>SUMIF(Perjantai!D:D,Turnaus!D18,Perjantai!H:H)+SUMIF(Lauantai!D:D,Turnaus!D18,Lauantai!H:H)</f>
        <v>3.6738095238095254</v>
      </c>
      <c r="F18" s="26">
        <f>SUMIF(Lauantai!D:D,Turnaus!D18,Lauantai!H:H)</f>
        <v>6.3500000000000014</v>
      </c>
      <c r="G18" s="19">
        <f>COUNTIF(Perjantai!D:D,D18)+COUNTIF(Lauantai!D:D,D18)</f>
        <v>16</v>
      </c>
      <c r="H18" s="30">
        <f>COUNTIF(Lauantai!D:D,D18)</f>
        <v>11</v>
      </c>
      <c r="I18" s="19">
        <f>COUNTIFS(Perjantai!D:D,D18,Perjantai!C:C,1)+COUNTIFS(Lauantai!D:D,D18,Lauantai!C:C,1)</f>
        <v>5</v>
      </c>
      <c r="J18" s="33">
        <f t="shared" si="0"/>
        <v>0.3125</v>
      </c>
      <c r="K18" s="19">
        <f>COUNTIFS(Perjantai!D:D,D18,Perjantai!H:H,"&gt;0")+COUNTIFS(Lauantai!D:D,D18,Lauantai!H:H,"&gt;0")</f>
        <v>7</v>
      </c>
      <c r="L18" s="33">
        <f t="shared" si="1"/>
        <v>0.4375</v>
      </c>
      <c r="M18" s="19">
        <f>COUNTIFS(Perjantai!D:D,D18,Perjantai!H:H,"&lt;0")+COUNTIFS(Lauantai!D:D,D18,Lauantai!H:H,"&lt;0")</f>
        <v>9</v>
      </c>
      <c r="N18" s="33">
        <f t="shared" si="2"/>
        <v>0.5625</v>
      </c>
      <c r="O18" s="36">
        <f>COUNTIFS(Perjantai!D:D,D18,Perjantai!C:C,0)+COUNTIFS(Lauantai!D:D,D18,Lauantai!C:C,0)</f>
        <v>3</v>
      </c>
      <c r="P18" s="33">
        <f t="shared" si="3"/>
        <v>0.1875</v>
      </c>
      <c r="Q18" s="13">
        <f>SUMIF(Perjantai!D:D,Turnaus!D18,Perjantai!F:F)+SUMIF(Lauantai!D:D,Turnaus!D18,Lauantai!F:F)</f>
        <v>601</v>
      </c>
      <c r="R18" s="12"/>
      <c r="T18" s="12"/>
      <c r="V18" s="12"/>
    </row>
    <row r="19" spans="1:22" s="11" customFormat="1" x14ac:dyDescent="0.2">
      <c r="B19" s="19">
        <v>4</v>
      </c>
      <c r="C19" s="20">
        <v>-3</v>
      </c>
      <c r="D19" s="11" t="s">
        <v>15</v>
      </c>
      <c r="E19" s="25">
        <f>SUMIF(Perjantai!D:D,Turnaus!D19,Perjantai!H:H)+SUMIF(Lauantai!D:D,Turnaus!D19,Lauantai!H:H)</f>
        <v>3.1404761904761918</v>
      </c>
      <c r="F19" s="26">
        <f>SUMIF(Lauantai!D:D,Turnaus!D19,Lauantai!H:H)</f>
        <v>-3.1833333333333327</v>
      </c>
      <c r="G19" s="19">
        <f>COUNTIF(Perjantai!D:D,D19)+COUNTIF(Lauantai!D:D,D19)</f>
        <v>16</v>
      </c>
      <c r="H19" s="30">
        <f>COUNTIF(Lauantai!D:D,D19)</f>
        <v>11</v>
      </c>
      <c r="I19" s="19">
        <f>COUNTIFS(Perjantai!D:D,D19,Perjantai!C:C,1)+COUNTIFS(Lauantai!D:D,D19,Lauantai!C:C,1)</f>
        <v>4</v>
      </c>
      <c r="J19" s="33">
        <f t="shared" si="0"/>
        <v>0.25</v>
      </c>
      <c r="K19" s="19">
        <f>COUNTIFS(Perjantai!D:D,D19,Perjantai!H:H,"&gt;0")+COUNTIFS(Lauantai!D:D,D19,Lauantai!H:H,"&gt;0")</f>
        <v>9</v>
      </c>
      <c r="L19" s="33">
        <f t="shared" si="1"/>
        <v>0.5625</v>
      </c>
      <c r="M19" s="19">
        <f>COUNTIFS(Perjantai!D:D,D19,Perjantai!H:H,"&lt;0")+COUNTIFS(Lauantai!D:D,D19,Lauantai!H:H,"&lt;0")</f>
        <v>7</v>
      </c>
      <c r="N19" s="33">
        <f t="shared" si="2"/>
        <v>0.4375</v>
      </c>
      <c r="O19" s="36">
        <f>COUNTIFS(Perjantai!D:D,D19,Perjantai!C:C,0)+COUNTIFS(Lauantai!D:D,D19,Lauantai!C:C,0)</f>
        <v>3</v>
      </c>
      <c r="P19" s="33">
        <f t="shared" si="3"/>
        <v>0.1875</v>
      </c>
      <c r="Q19" s="13">
        <f>SUMIF(Perjantai!D:D,Turnaus!D19,Perjantai!F:F)+SUMIF(Lauantai!D:D,Turnaus!D19,Lauantai!F:F)</f>
        <v>713</v>
      </c>
      <c r="R19" s="12"/>
      <c r="T19" s="12"/>
      <c r="V19" s="12"/>
    </row>
    <row r="20" spans="1:22" s="11" customFormat="1" x14ac:dyDescent="0.2">
      <c r="B20" s="19">
        <v>5</v>
      </c>
      <c r="C20" s="20"/>
      <c r="D20" s="11" t="s">
        <v>13</v>
      </c>
      <c r="E20" s="25">
        <f>SUMIF(Perjantai!D:D,Turnaus!D20,Perjantai!H:H)+SUMIF(Lauantai!D:D,Turnaus!D20,Lauantai!H:H)</f>
        <v>0.84999999999999964</v>
      </c>
      <c r="F20" s="26">
        <f>SUMIF(Lauantai!D:D,Turnaus!D20,Lauantai!H:H)</f>
        <v>0.84999999999999964</v>
      </c>
      <c r="G20" s="19">
        <f>COUNTIF(Perjantai!D:D,D20)+COUNTIF(Lauantai!D:D,D20)</f>
        <v>3</v>
      </c>
      <c r="H20" s="30">
        <f>COUNTIF(Lauantai!D:D,D20)</f>
        <v>3</v>
      </c>
      <c r="I20" s="19">
        <f>COUNTIFS(Perjantai!D:D,D20,Perjantai!C:C,1)+COUNTIFS(Lauantai!D:D,D20,Lauantai!C:C,1)</f>
        <v>1</v>
      </c>
      <c r="J20" s="33">
        <f t="shared" si="0"/>
        <v>0.33333333333333331</v>
      </c>
      <c r="K20" s="19">
        <f>COUNTIFS(Perjantai!D:D,D20,Perjantai!H:H,"&gt;0")+COUNTIFS(Lauantai!D:D,D20,Lauantai!H:H,"&gt;0")</f>
        <v>1</v>
      </c>
      <c r="L20" s="33">
        <f t="shared" si="1"/>
        <v>0.33333333333333331</v>
      </c>
      <c r="M20" s="19">
        <f>COUNTIFS(Perjantai!D:D,D20,Perjantai!H:H,"&lt;0")+COUNTIFS(Lauantai!D:D,D20,Lauantai!H:H,"&lt;0")</f>
        <v>2</v>
      </c>
      <c r="N20" s="33">
        <f t="shared" si="2"/>
        <v>0.66666666666666663</v>
      </c>
      <c r="O20" s="36">
        <f>COUNTIFS(Perjantai!D:D,D20,Perjantai!C:C,0)+COUNTIFS(Lauantai!D:D,D20,Lauantai!C:C,0)</f>
        <v>1</v>
      </c>
      <c r="P20" s="33">
        <f t="shared" si="3"/>
        <v>0.33333333333333331</v>
      </c>
      <c r="Q20" s="13">
        <f>SUMIF(Perjantai!D:D,Turnaus!D20,Perjantai!F:F)+SUMIF(Lauantai!D:D,Turnaus!D20,Lauantai!F:F)</f>
        <v>110</v>
      </c>
      <c r="R20" s="12"/>
      <c r="T20" s="12"/>
      <c r="V20" s="12"/>
    </row>
    <row r="21" spans="1:22" s="11" customFormat="1" x14ac:dyDescent="0.2">
      <c r="B21" s="19">
        <v>6</v>
      </c>
      <c r="C21" s="20">
        <v>3</v>
      </c>
      <c r="D21" s="11" t="s">
        <v>47</v>
      </c>
      <c r="E21" s="25">
        <f>SUMIF(Perjantai!D:D,Turnaus!D21,Perjantai!H:H)+SUMIF(Lauantai!D:D,Turnaus!D21,Lauantai!H:H)</f>
        <v>-0.20952380952380922</v>
      </c>
      <c r="F21" s="26">
        <f>SUMIF(Lauantai!D:D,Turnaus!D21,Lauantai!H:H)</f>
        <v>1.5500000000000003</v>
      </c>
      <c r="G21" s="19">
        <f>COUNTIF(Perjantai!D:D,D21)+COUNTIF(Lauantai!D:D,D21)</f>
        <v>12</v>
      </c>
      <c r="H21" s="30">
        <f>COUNTIF(Lauantai!D:D,D21)</f>
        <v>8</v>
      </c>
      <c r="I21" s="19">
        <f>COUNTIFS(Perjantai!D:D,D21,Perjantai!C:C,1)+COUNTIFS(Lauantai!D:D,D21,Lauantai!C:C,1)</f>
        <v>3</v>
      </c>
      <c r="J21" s="33">
        <f t="shared" si="0"/>
        <v>0.25</v>
      </c>
      <c r="K21" s="19">
        <f>COUNTIFS(Perjantai!D:D,D21,Perjantai!H:H,"&gt;0")+COUNTIFS(Lauantai!D:D,D21,Lauantai!H:H,"&gt;0")</f>
        <v>5</v>
      </c>
      <c r="L21" s="33">
        <f t="shared" si="1"/>
        <v>0.41666666666666669</v>
      </c>
      <c r="M21" s="19">
        <f>COUNTIFS(Perjantai!D:D,D21,Perjantai!H:H,"&lt;0")+COUNTIFS(Lauantai!D:D,D21,Lauantai!H:H,"&lt;0")</f>
        <v>7</v>
      </c>
      <c r="N21" s="33">
        <f t="shared" si="2"/>
        <v>0.58333333333333337</v>
      </c>
      <c r="O21" s="36">
        <f>COUNTIFS(Perjantai!D:D,D21,Perjantai!C:C,0)+COUNTIFS(Lauantai!D:D,D21,Lauantai!C:C,0)</f>
        <v>2</v>
      </c>
      <c r="P21" s="33">
        <f t="shared" si="3"/>
        <v>0.16666666666666666</v>
      </c>
      <c r="Q21" s="38">
        <f>SUMIF(Perjantai!D:D,Turnaus!D21,Perjantai!F:F)+SUMIF(Lauantai!D:D,Turnaus!D21,Lauantai!F:F)</f>
        <v>1023</v>
      </c>
      <c r="R21" s="12"/>
      <c r="T21" s="12"/>
      <c r="V21" s="12"/>
    </row>
    <row r="22" spans="1:22" s="11" customFormat="1" x14ac:dyDescent="0.2">
      <c r="B22" s="19">
        <v>7</v>
      </c>
      <c r="C22" s="20">
        <v>-5</v>
      </c>
      <c r="D22" s="11" t="s">
        <v>48</v>
      </c>
      <c r="E22" s="25">
        <f>SUMIF(Perjantai!D:D,Turnaus!D22,Perjantai!H:H)+SUMIF(Lauantai!D:D,Turnaus!D22,Lauantai!H:H)</f>
        <v>-0.19285714285714217</v>
      </c>
      <c r="F22" s="26">
        <f>SUMIF(Lauantai!D:D,Turnaus!D22,Lauantai!H:H)</f>
        <v>-5.4333333333333336</v>
      </c>
      <c r="G22" s="19">
        <f>COUNTIF(Perjantai!D:D,D22)+COUNTIF(Lauantai!D:D,D22)</f>
        <v>12</v>
      </c>
      <c r="H22" s="30">
        <f>COUNTIF(Lauantai!D:D,D22)</f>
        <v>8</v>
      </c>
      <c r="I22" s="19">
        <f>COUNTIFS(Perjantai!D:D,D22,Perjantai!C:C,1)+COUNTIFS(Lauantai!D:D,D22,Lauantai!C:C,1)</f>
        <v>2</v>
      </c>
      <c r="J22" s="33">
        <f t="shared" si="0"/>
        <v>0.16666666666666666</v>
      </c>
      <c r="K22" s="19">
        <f>COUNTIFS(Perjantai!D:D,D22,Perjantai!H:H,"&gt;0")+COUNTIFS(Lauantai!D:D,D22,Lauantai!H:H,"&gt;0")</f>
        <v>6</v>
      </c>
      <c r="L22" s="33">
        <f t="shared" si="1"/>
        <v>0.5</v>
      </c>
      <c r="M22" s="19">
        <f>COUNTIFS(Perjantai!D:D,D22,Perjantai!H:H,"&lt;0")+COUNTIFS(Lauantai!D:D,D22,Lauantai!H:H,"&lt;0")</f>
        <v>6</v>
      </c>
      <c r="N22" s="33">
        <f t="shared" si="2"/>
        <v>0.5</v>
      </c>
      <c r="O22" s="36">
        <f>COUNTIFS(Perjantai!D:D,D22,Perjantai!C:C,0)+COUNTIFS(Lauantai!D:D,D22,Lauantai!C:C,0)</f>
        <v>3</v>
      </c>
      <c r="P22" s="33">
        <f t="shared" si="3"/>
        <v>0.25</v>
      </c>
      <c r="Q22" s="13">
        <f>SUMIF(Perjantai!D:D,Turnaus!D22,Perjantai!F:F)+SUMIF(Lauantai!D:D,Turnaus!D22,Lauantai!F:F)</f>
        <v>955</v>
      </c>
      <c r="R22" s="12"/>
      <c r="T22" s="12"/>
      <c r="V22" s="12"/>
    </row>
    <row r="23" spans="1:22" s="11" customFormat="1" x14ac:dyDescent="0.2">
      <c r="B23" s="19">
        <v>8</v>
      </c>
      <c r="C23" s="20"/>
      <c r="D23" s="11" t="s">
        <v>62</v>
      </c>
      <c r="E23" s="25">
        <f>SUMIF(Perjantai!D:D,Turnaus!D23,Perjantai!H:H)+SUMIF(Lauantai!D:D,Turnaus!D23,Lauantai!H:H)</f>
        <v>-0.48333333333333317</v>
      </c>
      <c r="F23" s="26">
        <f>SUMIF(Lauantai!D:D,Turnaus!D23,Lauantai!H:H)</f>
        <v>-0.48333333333333317</v>
      </c>
      <c r="G23" s="19">
        <f>COUNTIF(Perjantai!D:D,D23)+COUNTIF(Lauantai!D:D,D23)</f>
        <v>7</v>
      </c>
      <c r="H23" s="30">
        <f>COUNTIF(Lauantai!D:D,D23)</f>
        <v>7</v>
      </c>
      <c r="I23" s="19">
        <f>COUNTIFS(Perjantai!D:D,D23,Perjantai!C:C,1)+COUNTIFS(Lauantai!D:D,D23,Lauantai!C:C,1)</f>
        <v>1</v>
      </c>
      <c r="J23" s="33">
        <f t="shared" si="0"/>
        <v>0.14285714285714285</v>
      </c>
      <c r="K23" s="19">
        <f>COUNTIFS(Perjantai!D:D,D23,Perjantai!H:H,"&gt;0")+COUNTIFS(Lauantai!D:D,D23,Lauantai!H:H,"&gt;0")</f>
        <v>2</v>
      </c>
      <c r="L23" s="33">
        <f t="shared" si="1"/>
        <v>0.2857142857142857</v>
      </c>
      <c r="M23" s="19">
        <f>COUNTIFS(Perjantai!D:D,D23,Perjantai!H:H,"&lt;0")+COUNTIFS(Lauantai!D:D,D23,Lauantai!H:H,"&lt;0")</f>
        <v>5</v>
      </c>
      <c r="N23" s="33">
        <f t="shared" si="2"/>
        <v>0.7142857142857143</v>
      </c>
      <c r="O23" s="36">
        <f>COUNTIFS(Perjantai!D:D,D23,Perjantai!C:C,0)+COUNTIFS(Lauantai!D:D,D23,Lauantai!C:C,0)</f>
        <v>1</v>
      </c>
      <c r="P23" s="33">
        <f t="shared" si="3"/>
        <v>0.14285714285714285</v>
      </c>
      <c r="Q23" s="13">
        <f>SUMIF(Perjantai!D:D,Turnaus!D23,Perjantai!F:F)+SUMIF(Lauantai!D:D,Turnaus!D23,Lauantai!F:F)</f>
        <v>312</v>
      </c>
      <c r="R23" s="12"/>
      <c r="T23" s="12"/>
      <c r="V23" s="12"/>
    </row>
    <row r="24" spans="1:22" s="11" customFormat="1" x14ac:dyDescent="0.2">
      <c r="B24" s="19">
        <v>9</v>
      </c>
      <c r="C24" s="20"/>
      <c r="D24" s="11" t="s">
        <v>16</v>
      </c>
      <c r="E24" s="25">
        <f>SUMIF(Perjantai!D:D,Turnaus!D24,Perjantai!H:H)+SUMIF(Lauantai!D:D,Turnaus!D24,Lauantai!H:H)</f>
        <v>-4.3000000000000007</v>
      </c>
      <c r="F24" s="26">
        <f>SUMIF(Lauantai!D:D,Turnaus!D24,Lauantai!H:H)</f>
        <v>-4.3000000000000007</v>
      </c>
      <c r="G24" s="19">
        <f>COUNTIF(Perjantai!D:D,D24)+COUNTIF(Lauantai!D:D,D24)</f>
        <v>8</v>
      </c>
      <c r="H24" s="30">
        <f>COUNTIF(Lauantai!D:D,D24)</f>
        <v>8</v>
      </c>
      <c r="I24" s="19">
        <f>COUNTIFS(Perjantai!D:D,D24,Perjantai!C:C,1)+COUNTIFS(Lauantai!D:D,D24,Lauantai!C:C,1)</f>
        <v>1</v>
      </c>
      <c r="J24" s="33">
        <f t="shared" si="0"/>
        <v>0.125</v>
      </c>
      <c r="K24" s="19">
        <f>COUNTIFS(Perjantai!D:D,D24,Perjantai!H:H,"&gt;0")+COUNTIFS(Lauantai!D:D,D24,Lauantai!H:H,"&gt;0")</f>
        <v>3</v>
      </c>
      <c r="L24" s="33">
        <f t="shared" si="1"/>
        <v>0.375</v>
      </c>
      <c r="M24" s="19">
        <f>COUNTIFS(Perjantai!D:D,D24,Perjantai!H:H,"&lt;0")+COUNTIFS(Lauantai!D:D,D24,Lauantai!H:H,"&lt;0")</f>
        <v>5</v>
      </c>
      <c r="N24" s="33">
        <f t="shared" si="2"/>
        <v>0.625</v>
      </c>
      <c r="O24" s="36">
        <f>COUNTIFS(Perjantai!D:D,D24,Perjantai!C:C,0)+COUNTIFS(Lauantai!D:D,D24,Lauantai!C:C,0)</f>
        <v>4</v>
      </c>
      <c r="P24" s="33">
        <f t="shared" si="3"/>
        <v>0.5</v>
      </c>
      <c r="Q24" s="13">
        <f>SUMIF(Perjantai!D:D,Turnaus!D24,Perjantai!F:F)+SUMIF(Lauantai!D:D,Turnaus!D24,Lauantai!F:F)</f>
        <v>287</v>
      </c>
      <c r="R24" s="12"/>
      <c r="T24" s="12"/>
      <c r="V24" s="12"/>
    </row>
    <row r="25" spans="1:22" s="11" customFormat="1" x14ac:dyDescent="0.2">
      <c r="B25" s="19">
        <v>10</v>
      </c>
      <c r="C25" s="20"/>
      <c r="D25" s="11" t="s">
        <v>63</v>
      </c>
      <c r="E25" s="25">
        <f>SUMIF(Perjantai!D:D,Turnaus!D25,Perjantai!H:H)+SUMIF(Lauantai!D:D,Turnaus!D25,Lauantai!H:H)</f>
        <v>-4.9833333333333325</v>
      </c>
      <c r="F25" s="26">
        <f>SUMIF(Lauantai!D:D,Turnaus!D25,Lauantai!H:H)</f>
        <v>-4.9833333333333325</v>
      </c>
      <c r="G25" s="19">
        <f>COUNTIF(Perjantai!D:D,D25)+COUNTIF(Lauantai!D:D,D25)</f>
        <v>9</v>
      </c>
      <c r="H25" s="30">
        <f>COUNTIF(Lauantai!D:D,D25)</f>
        <v>9</v>
      </c>
      <c r="I25" s="19">
        <f>COUNTIFS(Perjantai!D:D,D25,Perjantai!C:C,1)+COUNTIFS(Lauantai!D:D,D25,Lauantai!C:C,1)</f>
        <v>1</v>
      </c>
      <c r="J25" s="33">
        <f t="shared" ref="J25" si="4">I25/$G25</f>
        <v>0.1111111111111111</v>
      </c>
      <c r="K25" s="19">
        <f>COUNTIFS(Perjantai!D:D,D25,Perjantai!H:H,"&gt;0")+COUNTIFS(Lauantai!D:D,D25,Lauantai!H:H,"&gt;0")</f>
        <v>2</v>
      </c>
      <c r="L25" s="33">
        <f t="shared" ref="L25" si="5">K25/$G25</f>
        <v>0.22222222222222221</v>
      </c>
      <c r="M25" s="19">
        <f>COUNTIFS(Perjantai!D:D,D25,Perjantai!H:H,"&lt;0")+COUNTIFS(Lauantai!D:D,D25,Lauantai!H:H,"&lt;0")</f>
        <v>7</v>
      </c>
      <c r="N25" s="33">
        <f t="shared" ref="N25" si="6">M25/$G25</f>
        <v>0.77777777777777779</v>
      </c>
      <c r="O25" s="36">
        <f>COUNTIFS(Perjantai!D:D,D25,Perjantai!C:C,0)+COUNTIFS(Lauantai!D:D,D25,Lauantai!C:C,0)</f>
        <v>3</v>
      </c>
      <c r="P25" s="33">
        <f t="shared" ref="P25" si="7">O25/$G25</f>
        <v>0.33333333333333331</v>
      </c>
      <c r="Q25" s="13">
        <f>SUMIF(Perjantai!D:D,Turnaus!D25,Perjantai!F:F)+SUMIF(Lauantai!D:D,Turnaus!D25,Lauantai!F:F)</f>
        <v>364</v>
      </c>
      <c r="R25" s="12"/>
      <c r="T25" s="12"/>
      <c r="V25" s="12"/>
    </row>
    <row r="26" spans="1:22" s="11" customFormat="1" x14ac:dyDescent="0.2">
      <c r="B26" s="19">
        <v>11</v>
      </c>
      <c r="C26" s="20">
        <v>1</v>
      </c>
      <c r="D26" s="11" t="s">
        <v>17</v>
      </c>
      <c r="E26" s="25">
        <f>SUMIF(Perjantai!D:D,Turnaus!D26,Perjantai!H:H)+SUMIF(Lauantai!D:D,Turnaus!D26,Lauantai!H:H)</f>
        <v>-5.026190476190477</v>
      </c>
      <c r="F26" s="26">
        <f>SUMIF(Lauantai!D:D,Turnaus!D26,Lauantai!H:H)</f>
        <v>-1.1333333333333337</v>
      </c>
      <c r="G26" s="19">
        <f>COUNTIF(Perjantai!D:D,D26)+COUNTIF(Lauantai!D:D,D26)</f>
        <v>11</v>
      </c>
      <c r="H26" s="30">
        <f>COUNTIF(Lauantai!D:D,D26)</f>
        <v>9</v>
      </c>
      <c r="I26" s="19">
        <f>COUNTIFS(Perjantai!D:D,D26,Perjantai!C:C,1)+COUNTIFS(Lauantai!D:D,D26,Lauantai!C:C,1)</f>
        <v>2</v>
      </c>
      <c r="J26" s="33">
        <f t="shared" si="0"/>
        <v>0.18181818181818182</v>
      </c>
      <c r="K26" s="19">
        <f>COUNTIFS(Perjantai!D:D,D26,Perjantai!H:H,"&gt;0")+COUNTIFS(Lauantai!D:D,D26,Lauantai!H:H,"&gt;0")</f>
        <v>2</v>
      </c>
      <c r="L26" s="33">
        <f t="shared" si="1"/>
        <v>0.18181818181818182</v>
      </c>
      <c r="M26" s="19">
        <f>COUNTIFS(Perjantai!D:D,D26,Perjantai!H:H,"&lt;0")+COUNTIFS(Lauantai!D:D,D26,Lauantai!H:H,"&lt;0")</f>
        <v>9</v>
      </c>
      <c r="N26" s="33">
        <f t="shared" si="2"/>
        <v>0.81818181818181823</v>
      </c>
      <c r="O26" s="36">
        <f>COUNTIFS(Perjantai!D:D,D26,Perjantai!C:C,0)+COUNTIFS(Lauantai!D:D,D26,Lauantai!C:C,0)</f>
        <v>3</v>
      </c>
      <c r="P26" s="33">
        <f t="shared" si="3"/>
        <v>0.27272727272727271</v>
      </c>
      <c r="Q26" s="13">
        <f>SUMIF(Perjantai!D:D,Turnaus!D26,Perjantai!F:F)+SUMIF(Lauantai!D:D,Turnaus!D26,Lauantai!F:F)</f>
        <v>823</v>
      </c>
      <c r="R26" s="12"/>
      <c r="T26" s="12"/>
      <c r="V26" s="12"/>
    </row>
    <row r="27" spans="1:22" s="14" customFormat="1" x14ac:dyDescent="0.2">
      <c r="B27" s="21">
        <v>12</v>
      </c>
      <c r="C27" s="22"/>
      <c r="D27" s="14" t="s">
        <v>19</v>
      </c>
      <c r="E27" s="27">
        <f>SUMIF(Perjantai!D:D,Turnaus!D27,Perjantai!H:H)+SUMIF(Lauantai!D:D,Turnaus!D27,Lauantai!H:H)</f>
        <v>-6.0333333333333332</v>
      </c>
      <c r="F27" s="28">
        <f>SUMIF(Lauantai!D:D,Turnaus!D27,Lauantai!H:H)</f>
        <v>-6.0333333333333332</v>
      </c>
      <c r="G27" s="21">
        <f>COUNTIF(Perjantai!D:D,D27)+COUNTIF(Lauantai!D:D,D27)</f>
        <v>4</v>
      </c>
      <c r="H27" s="31">
        <f>COUNTIF(Lauantai!D:D,D27)</f>
        <v>4</v>
      </c>
      <c r="I27" s="21">
        <f>COUNTIFS(Perjantai!D:D,D27,Perjantai!C:C,1)+COUNTIFS(Lauantai!D:D,D27,Lauantai!C:C,1)</f>
        <v>0</v>
      </c>
      <c r="J27" s="34">
        <f t="shared" si="0"/>
        <v>0</v>
      </c>
      <c r="K27" s="21">
        <f>COUNTIFS(Perjantai!D:D,D27,Perjantai!H:H,"&gt;0")+COUNTIFS(Lauantai!D:D,D27,Lauantai!H:H,"&gt;0")</f>
        <v>0</v>
      </c>
      <c r="L27" s="34">
        <f t="shared" si="1"/>
        <v>0</v>
      </c>
      <c r="M27" s="21">
        <f>COUNTIFS(Perjantai!D:D,D27,Perjantai!H:H,"&lt;0")+COUNTIFS(Lauantai!D:D,D27,Lauantai!H:H,"&lt;0")</f>
        <v>4</v>
      </c>
      <c r="N27" s="34">
        <f t="shared" si="2"/>
        <v>1</v>
      </c>
      <c r="O27" s="37">
        <f>COUNTIFS(Perjantai!D:D,D27,Perjantai!C:C,0)+COUNTIFS(Lauantai!D:D,D27,Lauantai!C:C,0)</f>
        <v>1</v>
      </c>
      <c r="P27" s="34">
        <f t="shared" si="3"/>
        <v>0.25</v>
      </c>
      <c r="Q27" s="16">
        <f>SUMIF(Perjantai!D:D,Turnaus!D27,Perjantai!F:F)+SUMIF(Lauantai!D:D,Turnaus!D27,Lauantai!F:F)</f>
        <v>44</v>
      </c>
      <c r="R27" s="15"/>
      <c r="T27" s="15"/>
      <c r="V27" s="15"/>
    </row>
    <row r="29" spans="1:22" s="8" customFormat="1" x14ac:dyDescent="0.2">
      <c r="A29" s="7" t="s">
        <v>37</v>
      </c>
      <c r="B29" s="17">
        <v>1</v>
      </c>
      <c r="C29" s="18">
        <v>2</v>
      </c>
      <c r="D29" s="8" t="s">
        <v>5</v>
      </c>
      <c r="E29" s="23">
        <f>SUMIF(Perjantai!D:D,Turnaus!D29,Perjantai!H:H)+SUMIF(Lauantai!D:D,Turnaus!D29,Lauantai!H:H)+SUMIF(Sunnuntai!D:D,Turnaus!D29,Sunnuntai!H:H)</f>
        <v>8.3904761904761926</v>
      </c>
      <c r="F29" s="24">
        <f>SUMIF(Sunnuntai!D:D,Turnaus!D29,Sunnuntai!H:H)</f>
        <v>4.7166666666666668</v>
      </c>
      <c r="G29" s="17">
        <f>COUNTIF(Perjantai!D:D,D29)+COUNTIF(Lauantai!D:D,D29)+COUNTIF(Sunnuntai!D:D,D29)</f>
        <v>19</v>
      </c>
      <c r="H29" s="29">
        <f>COUNTIF(Sunnuntai!D:D,D29)</f>
        <v>3</v>
      </c>
      <c r="I29" s="17">
        <f>COUNTIFS(Perjantai!D:D,D29,Perjantai!C:C,1)+COUNTIFS(Lauantai!D:D,D29,Lauantai!C:C,1)+COUNTIFS(Sunnuntai!D:D,D29,Sunnuntai!C:C,1)</f>
        <v>7</v>
      </c>
      <c r="J29" s="32">
        <f t="shared" ref="J29:J40" si="8">I29/$G29</f>
        <v>0.36842105263157893</v>
      </c>
      <c r="K29" s="17">
        <f>COUNTIFS(Perjantai!D:D,D29,Perjantai!H:H,"&gt;0")+COUNTIFS(Lauantai!D:D,D29,Lauantai!H:H,"&gt;0")+COUNTIFS(Sunnuntai!D:D,D29,Sunnuntai!H:H,"&gt;0")</f>
        <v>10</v>
      </c>
      <c r="L29" s="32">
        <f t="shared" ref="L29:L40" si="9">K29/$G29</f>
        <v>0.52631578947368418</v>
      </c>
      <c r="M29" s="17">
        <f>COUNTIFS(Perjantai!D:D,D29,Perjantai!H:H,"&lt;0")+COUNTIFS(Lauantai!D:D,D29,Lauantai!H:H,"&lt;0")+COUNTIFS(Sunnuntai!D:D,D29,Sunnuntai!H:H,"&lt;0")</f>
        <v>9</v>
      </c>
      <c r="N29" s="32">
        <f t="shared" ref="N29:N40" si="10">M29/$G29</f>
        <v>0.47368421052631576</v>
      </c>
      <c r="O29" s="35">
        <f>COUNTIFS(Perjantai!D:D,D29,Perjantai!C:C,0)+COUNTIFS(Lauantai!D:D,D29,Lauantai!C:C,0)+COUNTIFS(Sunnuntai!D:D,D29,Sunnuntai!C:C,0)</f>
        <v>3</v>
      </c>
      <c r="P29" s="32">
        <f t="shared" ref="P29:P40" si="11">O29/$G29</f>
        <v>0.15789473684210525</v>
      </c>
      <c r="Q29" s="10">
        <f>SUMIF(Perjantai!D:D,Turnaus!D29,Perjantai!F:F)+SUMIF(Lauantai!D:D,Turnaus!D29,Lauantai!F:F)+SUMIF(Sunnuntai!D:D,Turnaus!D29,Sunnuntai!F:F)</f>
        <v>1214</v>
      </c>
      <c r="R29" s="9"/>
      <c r="T29" s="9"/>
      <c r="V29" s="9"/>
    </row>
    <row r="30" spans="1:22" s="11" customFormat="1" x14ac:dyDescent="0.2">
      <c r="A30" s="11" t="s">
        <v>35</v>
      </c>
      <c r="B30" s="19">
        <v>2</v>
      </c>
      <c r="C30" s="20">
        <v>-1</v>
      </c>
      <c r="D30" s="11" t="s">
        <v>49</v>
      </c>
      <c r="E30" s="25">
        <f>SUMIF(Perjantai!D:D,Turnaus!D30,Perjantai!H:H)+SUMIF(Lauantai!D:D,Turnaus!D30,Lauantai!H:H)+SUMIF(Sunnuntai!D:D,Turnaus!D30,Sunnuntai!H:H)</f>
        <v>6.5404761904761903</v>
      </c>
      <c r="F30" s="26"/>
      <c r="G30" s="19">
        <f>COUNTIF(Perjantai!D:D,D30)+COUNTIF(Lauantai!D:D,D30)+COUNTIF(Sunnuntai!D:D,D30)</f>
        <v>9</v>
      </c>
      <c r="H30" s="30"/>
      <c r="I30" s="19">
        <f>COUNTIFS(Perjantai!D:D,D30,Perjantai!C:C,1)+COUNTIFS(Lauantai!D:D,D30,Lauantai!C:C,1)+COUNTIFS(Sunnuntai!D:D,D30,Sunnuntai!C:C,1)</f>
        <v>4</v>
      </c>
      <c r="J30" s="33">
        <f t="shared" si="8"/>
        <v>0.44444444444444442</v>
      </c>
      <c r="K30" s="19">
        <f>COUNTIFS(Perjantai!D:D,D30,Perjantai!H:H,"&gt;0")+COUNTIFS(Lauantai!D:D,D30,Lauantai!H:H,"&gt;0")+COUNTIFS(Sunnuntai!D:D,D30,Sunnuntai!H:H,"&gt;0")</f>
        <v>6</v>
      </c>
      <c r="L30" s="33">
        <f t="shared" si="9"/>
        <v>0.66666666666666663</v>
      </c>
      <c r="M30" s="19">
        <f>COUNTIFS(Perjantai!D:D,D30,Perjantai!H:H,"&lt;0")+COUNTIFS(Lauantai!D:D,D30,Lauantai!H:H,"&lt;0")+COUNTIFS(Sunnuntai!D:D,D30,Sunnuntai!H:H,"&lt;0")</f>
        <v>3</v>
      </c>
      <c r="N30" s="33">
        <f t="shared" si="10"/>
        <v>0.33333333333333331</v>
      </c>
      <c r="O30" s="36">
        <f>COUNTIFS(Perjantai!D:D,D30,Perjantai!C:C,0)+COUNTIFS(Lauantai!D:D,D30,Lauantai!C:C,0)+COUNTIFS(Sunnuntai!D:D,D30,Sunnuntai!C:C,0)</f>
        <v>2</v>
      </c>
      <c r="P30" s="33">
        <f t="shared" si="11"/>
        <v>0.22222222222222221</v>
      </c>
      <c r="Q30" s="13">
        <f>SUMIF(Perjantai!D:D,Turnaus!D30,Perjantai!F:F)+SUMIF(Lauantai!D:D,Turnaus!D30,Lauantai!F:F)+SUMIF(Sunnuntai!D:D,Turnaus!D30,Sunnuntai!F:F)</f>
        <v>683</v>
      </c>
      <c r="R30" s="12"/>
      <c r="T30" s="12"/>
      <c r="V30" s="12"/>
    </row>
    <row r="31" spans="1:22" s="11" customFormat="1" x14ac:dyDescent="0.2">
      <c r="B31" s="19">
        <v>3</v>
      </c>
      <c r="C31" s="20">
        <v>1</v>
      </c>
      <c r="D31" s="11" t="s">
        <v>15</v>
      </c>
      <c r="E31" s="25">
        <f>SUMIF(Perjantai!D:D,Turnaus!D31,Perjantai!H:H)+SUMIF(Lauantai!D:D,Turnaus!D31,Lauantai!H:H)+SUMIF(Sunnuntai!D:D,Turnaus!D31,Sunnuntai!H:H)</f>
        <v>2.6071428571428585</v>
      </c>
      <c r="F31" s="26">
        <f>SUMIF(Sunnuntai!D:D,Turnaus!D31,Sunnuntai!H:H)</f>
        <v>-0.53333333333333344</v>
      </c>
      <c r="G31" s="19">
        <f>COUNTIF(Perjantai!D:D,D31)+COUNTIF(Lauantai!D:D,D31)+COUNTIF(Sunnuntai!D:D,D31)</f>
        <v>18</v>
      </c>
      <c r="H31" s="30">
        <f>COUNTIF(Sunnuntai!D:D,D31)</f>
        <v>2</v>
      </c>
      <c r="I31" s="19">
        <f>COUNTIFS(Perjantai!D:D,D31,Perjantai!C:C,1)+COUNTIFS(Lauantai!D:D,D31,Lauantai!C:C,1)+COUNTIFS(Sunnuntai!D:D,D31,Sunnuntai!C:C,1)</f>
        <v>4</v>
      </c>
      <c r="J31" s="33">
        <f t="shared" si="8"/>
        <v>0.22222222222222221</v>
      </c>
      <c r="K31" s="19">
        <f>COUNTIFS(Perjantai!D:D,D31,Perjantai!H:H,"&gt;0")+COUNTIFS(Lauantai!D:D,D31,Lauantai!H:H,"&gt;0")+COUNTIFS(Sunnuntai!D:D,D31,Sunnuntai!H:H,"&gt;0")</f>
        <v>9</v>
      </c>
      <c r="L31" s="33">
        <f t="shared" si="9"/>
        <v>0.5</v>
      </c>
      <c r="M31" s="19">
        <f>COUNTIFS(Perjantai!D:D,D31,Perjantai!H:H,"&lt;0")+COUNTIFS(Lauantai!D:D,D31,Lauantai!H:H,"&lt;0")+COUNTIFS(Sunnuntai!D:D,D31,Sunnuntai!H:H,"&lt;0")</f>
        <v>9</v>
      </c>
      <c r="N31" s="33">
        <f t="shared" si="10"/>
        <v>0.5</v>
      </c>
      <c r="O31" s="36">
        <f>COUNTIFS(Perjantai!D:D,D31,Perjantai!C:C,0)+COUNTIFS(Lauantai!D:D,D31,Lauantai!C:C,0)+COUNTIFS(Sunnuntai!D:D,D31,Sunnuntai!C:C,0)</f>
        <v>3</v>
      </c>
      <c r="P31" s="33">
        <f t="shared" si="11"/>
        <v>0.16666666666666666</v>
      </c>
      <c r="Q31" s="13">
        <f>SUMIF(Perjantai!D:D,Turnaus!D31,Perjantai!F:F)+SUMIF(Lauantai!D:D,Turnaus!D31,Lauantai!F:F)+SUMIF(Sunnuntai!D:D,Turnaus!D31,Sunnuntai!F:F)</f>
        <v>830</v>
      </c>
      <c r="R31" s="12"/>
      <c r="T31" s="12"/>
      <c r="V31" s="12"/>
    </row>
    <row r="32" spans="1:22" s="11" customFormat="1" x14ac:dyDescent="0.2">
      <c r="B32" s="19">
        <v>4</v>
      </c>
      <c r="C32" s="20">
        <v>2</v>
      </c>
      <c r="D32" s="11" t="s">
        <v>47</v>
      </c>
      <c r="E32" s="25">
        <f>SUMIF(Perjantai!D:D,Turnaus!D32,Perjantai!H:H)+SUMIF(Lauantai!D:D,Turnaus!D32,Lauantai!H:H)+SUMIF(Sunnuntai!D:D,Turnaus!D32,Sunnuntai!H:H)</f>
        <v>2.5904761904761906</v>
      </c>
      <c r="F32" s="26">
        <f>SUMIF(Sunnuntai!D:D,Turnaus!D32,Sunnuntai!H:H)</f>
        <v>2.8</v>
      </c>
      <c r="G32" s="19">
        <f>COUNTIF(Perjantai!D:D,D32)+COUNTIF(Lauantai!D:D,D32)+COUNTIF(Sunnuntai!D:D,D32)</f>
        <v>13</v>
      </c>
      <c r="H32" s="30">
        <f>COUNTIF(Sunnuntai!D:D,D32)</f>
        <v>1</v>
      </c>
      <c r="I32" s="19">
        <f>COUNTIFS(Perjantai!D:D,D32,Perjantai!C:C,1)+COUNTIFS(Lauantai!D:D,D32,Lauantai!C:C,1)+COUNTIFS(Sunnuntai!D:D,D32,Sunnuntai!C:C,1)</f>
        <v>4</v>
      </c>
      <c r="J32" s="33">
        <f t="shared" si="8"/>
        <v>0.30769230769230771</v>
      </c>
      <c r="K32" s="19">
        <f>COUNTIFS(Perjantai!D:D,D32,Perjantai!H:H,"&gt;0")+COUNTIFS(Lauantai!D:D,D32,Lauantai!H:H,"&gt;0")+COUNTIFS(Sunnuntai!D:D,D32,Sunnuntai!H:H,"&gt;0")</f>
        <v>6</v>
      </c>
      <c r="L32" s="33">
        <f t="shared" si="9"/>
        <v>0.46153846153846156</v>
      </c>
      <c r="M32" s="19">
        <f>COUNTIFS(Perjantai!D:D,D32,Perjantai!H:H,"&lt;0")+COUNTIFS(Lauantai!D:D,D32,Lauantai!H:H,"&lt;0")+COUNTIFS(Sunnuntai!D:D,D32,Sunnuntai!H:H,"&lt;0")</f>
        <v>7</v>
      </c>
      <c r="N32" s="33">
        <f t="shared" si="10"/>
        <v>0.53846153846153844</v>
      </c>
      <c r="O32" s="36">
        <f>COUNTIFS(Perjantai!D:D,D32,Perjantai!C:C,0)+COUNTIFS(Lauantai!D:D,D32,Lauantai!C:C,0)+COUNTIFS(Sunnuntai!D:D,D32,Sunnuntai!C:C,0)</f>
        <v>2</v>
      </c>
      <c r="P32" s="33">
        <f t="shared" si="11"/>
        <v>0.15384615384615385</v>
      </c>
      <c r="Q32" s="13">
        <f>SUMIF(Perjantai!D:D,Turnaus!D32,Perjantai!F:F)+SUMIF(Lauantai!D:D,Turnaus!D32,Lauantai!F:F)+SUMIF(Sunnuntai!D:D,Turnaus!D32,Sunnuntai!F:F)</f>
        <v>1052</v>
      </c>
      <c r="R32" s="12"/>
      <c r="T32" s="12"/>
      <c r="V32" s="12"/>
    </row>
    <row r="33" spans="2:22" s="11" customFormat="1" x14ac:dyDescent="0.2">
      <c r="B33" s="19">
        <v>5</v>
      </c>
      <c r="C33" s="20">
        <v>-3</v>
      </c>
      <c r="D33" s="11" t="s">
        <v>4</v>
      </c>
      <c r="E33" s="25">
        <f>SUMIF(Perjantai!D:D,Turnaus!D33,Perjantai!H:H)+SUMIF(Lauantai!D:D,Turnaus!D33,Lauantai!H:H)+SUMIF(Sunnuntai!D:D,Turnaus!D33,Sunnuntai!H:H)</f>
        <v>2.5738095238095244</v>
      </c>
      <c r="F33" s="26">
        <f>SUMIF(Sunnuntai!D:D,Turnaus!D33,Sunnuntai!H:H)</f>
        <v>-2.7833333333333332</v>
      </c>
      <c r="G33" s="19">
        <f>COUNTIF(Perjantai!D:D,D33)+COUNTIF(Lauantai!D:D,D33)+COUNTIF(Sunnuntai!D:D,D33)</f>
        <v>17</v>
      </c>
      <c r="H33" s="30">
        <f>COUNTIF(Sunnuntai!D:D,D33)</f>
        <v>3</v>
      </c>
      <c r="I33" s="19">
        <f>COUNTIFS(Perjantai!D:D,D33,Perjantai!C:C,1)+COUNTIFS(Lauantai!D:D,D33,Lauantai!C:C,1)+COUNTIFS(Sunnuntai!D:D,D33,Sunnuntai!C:C,1)</f>
        <v>4</v>
      </c>
      <c r="J33" s="33">
        <f t="shared" si="8"/>
        <v>0.23529411764705882</v>
      </c>
      <c r="K33" s="19">
        <f>COUNTIFS(Perjantai!D:D,D33,Perjantai!H:H,"&gt;0")+COUNTIFS(Lauantai!D:D,D33,Lauantai!H:H,"&gt;0")+COUNTIFS(Sunnuntai!D:D,D33,Sunnuntai!H:H,"&gt;0")</f>
        <v>7</v>
      </c>
      <c r="L33" s="33">
        <f t="shared" si="9"/>
        <v>0.41176470588235292</v>
      </c>
      <c r="M33" s="19">
        <f>COUNTIFS(Perjantai!D:D,D33,Perjantai!H:H,"&lt;0")+COUNTIFS(Lauantai!D:D,D33,Lauantai!H:H,"&lt;0")+COUNTIFS(Sunnuntai!D:D,D33,Sunnuntai!H:H,"&lt;0")</f>
        <v>10</v>
      </c>
      <c r="N33" s="33">
        <f t="shared" si="10"/>
        <v>0.58823529411764708</v>
      </c>
      <c r="O33" s="36">
        <f>COUNTIFS(Perjantai!D:D,D33,Perjantai!C:C,0)+COUNTIFS(Lauantai!D:D,D33,Lauantai!C:C,0)+COUNTIFS(Sunnuntai!D:D,D33,Sunnuntai!C:C,0)</f>
        <v>4</v>
      </c>
      <c r="P33" s="33">
        <f t="shared" si="11"/>
        <v>0.23529411764705882</v>
      </c>
      <c r="Q33" s="38">
        <f>SUMIF(Perjantai!D:D,Turnaus!D33,Perjantai!F:F)+SUMIF(Lauantai!D:D,Turnaus!D33,Lauantai!F:F)+SUMIF(Sunnuntai!D:D,Turnaus!D33,Sunnuntai!F:F)</f>
        <v>1307</v>
      </c>
      <c r="R33" s="12"/>
      <c r="T33" s="12"/>
      <c r="V33" s="12"/>
    </row>
    <row r="34" spans="2:22" s="11" customFormat="1" x14ac:dyDescent="0.2">
      <c r="B34" s="19">
        <v>6</v>
      </c>
      <c r="C34" s="20">
        <v>-1</v>
      </c>
      <c r="D34" s="11" t="s">
        <v>13</v>
      </c>
      <c r="E34" s="25">
        <f>SUMIF(Perjantai!D:D,Turnaus!D34,Perjantai!H:H)+SUMIF(Lauantai!D:D,Turnaus!D34,Lauantai!H:H)+SUMIF(Sunnuntai!D:D,Turnaus!D34,Sunnuntai!H:H)</f>
        <v>0.84999999999999964</v>
      </c>
      <c r="F34" s="26"/>
      <c r="G34" s="19">
        <f>COUNTIF(Perjantai!D:D,D34)+COUNTIF(Lauantai!D:D,D34)+COUNTIF(Sunnuntai!D:D,D34)</f>
        <v>3</v>
      </c>
      <c r="H34" s="30"/>
      <c r="I34" s="19">
        <f>COUNTIFS(Perjantai!D:D,D34,Perjantai!C:C,1)+COUNTIFS(Lauantai!D:D,D34,Lauantai!C:C,1)+COUNTIFS(Sunnuntai!D:D,D34,Sunnuntai!C:C,1)</f>
        <v>1</v>
      </c>
      <c r="J34" s="33">
        <f t="shared" si="8"/>
        <v>0.33333333333333331</v>
      </c>
      <c r="K34" s="19">
        <f>COUNTIFS(Perjantai!D:D,D34,Perjantai!H:H,"&gt;0")+COUNTIFS(Lauantai!D:D,D34,Lauantai!H:H,"&gt;0")+COUNTIFS(Sunnuntai!D:D,D34,Sunnuntai!H:H,"&gt;0")</f>
        <v>1</v>
      </c>
      <c r="L34" s="33">
        <f t="shared" si="9"/>
        <v>0.33333333333333331</v>
      </c>
      <c r="M34" s="19">
        <f>COUNTIFS(Perjantai!D:D,D34,Perjantai!H:H,"&lt;0")+COUNTIFS(Lauantai!D:D,D34,Lauantai!H:H,"&lt;0")+COUNTIFS(Sunnuntai!D:D,D34,Sunnuntai!H:H,"&lt;0")</f>
        <v>2</v>
      </c>
      <c r="N34" s="33">
        <f t="shared" si="10"/>
        <v>0.66666666666666663</v>
      </c>
      <c r="O34" s="36">
        <f>COUNTIFS(Perjantai!D:D,D34,Perjantai!C:C,0)+COUNTIFS(Lauantai!D:D,D34,Lauantai!C:C,0)+COUNTIFS(Sunnuntai!D:D,D34,Sunnuntai!C:C,0)</f>
        <v>1</v>
      </c>
      <c r="P34" s="33">
        <f t="shared" si="11"/>
        <v>0.33333333333333331</v>
      </c>
      <c r="Q34" s="13">
        <f>SUMIF(Perjantai!D:D,Turnaus!D34,Perjantai!F:F)+SUMIF(Lauantai!D:D,Turnaus!D34,Lauantai!F:F)+SUMIF(Sunnuntai!D:D,Turnaus!D34,Sunnuntai!F:F)</f>
        <v>110</v>
      </c>
      <c r="R34" s="12"/>
      <c r="T34" s="12"/>
      <c r="V34" s="12"/>
    </row>
    <row r="35" spans="2:22" s="11" customFormat="1" x14ac:dyDescent="0.2">
      <c r="B35" s="19">
        <v>7</v>
      </c>
      <c r="C35" s="20">
        <v>0</v>
      </c>
      <c r="D35" s="11" t="s">
        <v>48</v>
      </c>
      <c r="E35" s="25">
        <f>SUMIF(Perjantai!D:D,Turnaus!D35,Perjantai!H:H)+SUMIF(Lauantai!D:D,Turnaus!D35,Lauantai!H:H)+SUMIF(Sunnuntai!D:D,Turnaus!D35,Sunnuntai!H:H)</f>
        <v>-0.19285714285714217</v>
      </c>
      <c r="F35" s="26"/>
      <c r="G35" s="19">
        <f>COUNTIF(Perjantai!D:D,D35)+COUNTIF(Lauantai!D:D,D35)+COUNTIF(Sunnuntai!D:D,D35)</f>
        <v>12</v>
      </c>
      <c r="H35" s="30"/>
      <c r="I35" s="19">
        <f>COUNTIFS(Perjantai!D:D,D35,Perjantai!C:C,1)+COUNTIFS(Lauantai!D:D,D35,Lauantai!C:C,1)+COUNTIFS(Sunnuntai!D:D,D35,Sunnuntai!C:C,1)</f>
        <v>2</v>
      </c>
      <c r="J35" s="33">
        <f t="shared" si="8"/>
        <v>0.16666666666666666</v>
      </c>
      <c r="K35" s="19">
        <f>COUNTIFS(Perjantai!D:D,D35,Perjantai!H:H,"&gt;0")+COUNTIFS(Lauantai!D:D,D35,Lauantai!H:H,"&gt;0")+COUNTIFS(Sunnuntai!D:D,D35,Sunnuntai!H:H,"&gt;0")</f>
        <v>6</v>
      </c>
      <c r="L35" s="33">
        <f t="shared" si="9"/>
        <v>0.5</v>
      </c>
      <c r="M35" s="19">
        <f>COUNTIFS(Perjantai!D:D,D35,Perjantai!H:H,"&lt;0")+COUNTIFS(Lauantai!D:D,D35,Lauantai!H:H,"&lt;0")+COUNTIFS(Sunnuntai!D:D,D35,Sunnuntai!H:H,"&lt;0")</f>
        <v>6</v>
      </c>
      <c r="N35" s="33">
        <f t="shared" si="10"/>
        <v>0.5</v>
      </c>
      <c r="O35" s="36">
        <f>COUNTIFS(Perjantai!D:D,D35,Perjantai!C:C,0)+COUNTIFS(Lauantai!D:D,D35,Lauantai!C:C,0)+COUNTIFS(Sunnuntai!D:D,D35,Sunnuntai!C:C,0)</f>
        <v>3</v>
      </c>
      <c r="P35" s="33">
        <f t="shared" si="11"/>
        <v>0.25</v>
      </c>
      <c r="Q35" s="13">
        <f>SUMIF(Perjantai!D:D,Turnaus!D35,Perjantai!F:F)+SUMIF(Lauantai!D:D,Turnaus!D35,Lauantai!F:F)+SUMIF(Sunnuntai!D:D,Turnaus!D35,Sunnuntai!F:F)</f>
        <v>955</v>
      </c>
      <c r="R35" s="12"/>
      <c r="T35" s="12"/>
      <c r="V35" s="12"/>
    </row>
    <row r="36" spans="2:22" s="11" customFormat="1" x14ac:dyDescent="0.2">
      <c r="B36" s="19">
        <v>8</v>
      </c>
      <c r="C36" s="20">
        <v>0</v>
      </c>
      <c r="D36" s="11" t="s">
        <v>62</v>
      </c>
      <c r="E36" s="25">
        <f>SUMIF(Perjantai!D:D,Turnaus!D36,Perjantai!H:H)+SUMIF(Lauantai!D:D,Turnaus!D36,Lauantai!H:H)+SUMIF(Sunnuntai!D:D,Turnaus!D36,Sunnuntai!H:H)</f>
        <v>-2.9333333333333336</v>
      </c>
      <c r="F36" s="26">
        <f>SUMIF(Sunnuntai!D:D,Turnaus!D36,Sunnuntai!H:H)</f>
        <v>-2.4500000000000002</v>
      </c>
      <c r="G36" s="19">
        <f>COUNTIF(Perjantai!D:D,D36)+COUNTIF(Lauantai!D:D,D36)+COUNTIF(Sunnuntai!D:D,D36)</f>
        <v>9</v>
      </c>
      <c r="H36" s="30">
        <f>COUNTIF(Sunnuntai!D:D,D36)</f>
        <v>2</v>
      </c>
      <c r="I36" s="19">
        <f>COUNTIFS(Perjantai!D:D,D36,Perjantai!C:C,1)+COUNTIFS(Lauantai!D:D,D36,Lauantai!C:C,1)+COUNTIFS(Sunnuntai!D:D,D36,Sunnuntai!C:C,1)</f>
        <v>1</v>
      </c>
      <c r="J36" s="33">
        <f t="shared" si="8"/>
        <v>0.1111111111111111</v>
      </c>
      <c r="K36" s="19">
        <f>COUNTIFS(Perjantai!D:D,D36,Perjantai!H:H,"&gt;0")+COUNTIFS(Lauantai!D:D,D36,Lauantai!H:H,"&gt;0")+COUNTIFS(Sunnuntai!D:D,D36,Sunnuntai!H:H,"&gt;0")</f>
        <v>2</v>
      </c>
      <c r="L36" s="33">
        <f t="shared" si="9"/>
        <v>0.22222222222222221</v>
      </c>
      <c r="M36" s="19">
        <f>COUNTIFS(Perjantai!D:D,D36,Perjantai!H:H,"&lt;0")+COUNTIFS(Lauantai!D:D,D36,Lauantai!H:H,"&lt;0")+COUNTIFS(Sunnuntai!D:D,D36,Sunnuntai!H:H,"&lt;0")</f>
        <v>7</v>
      </c>
      <c r="N36" s="33">
        <f t="shared" si="10"/>
        <v>0.77777777777777779</v>
      </c>
      <c r="O36" s="36">
        <f>COUNTIFS(Perjantai!D:D,D36,Perjantai!C:C,0)+COUNTIFS(Lauantai!D:D,D36,Lauantai!C:C,0)+COUNTIFS(Sunnuntai!D:D,D36,Sunnuntai!C:C,0)</f>
        <v>2</v>
      </c>
      <c r="P36" s="33">
        <f t="shared" si="11"/>
        <v>0.22222222222222221</v>
      </c>
      <c r="Q36" s="13">
        <f>SUMIF(Perjantai!D:D,Turnaus!D36,Perjantai!F:F)+SUMIF(Lauantai!D:D,Turnaus!D36,Lauantai!F:F)+SUMIF(Sunnuntai!D:D,Turnaus!D36,Sunnuntai!F:F)</f>
        <v>729</v>
      </c>
      <c r="R36" s="12"/>
      <c r="T36" s="12"/>
      <c r="V36" s="12"/>
    </row>
    <row r="37" spans="2:22" s="11" customFormat="1" x14ac:dyDescent="0.2">
      <c r="B37" s="19">
        <v>9</v>
      </c>
      <c r="C37" s="20">
        <v>0</v>
      </c>
      <c r="D37" s="11" t="s">
        <v>16</v>
      </c>
      <c r="E37" s="25">
        <f>SUMIF(Perjantai!D:D,Turnaus!D37,Perjantai!H:H)+SUMIF(Lauantai!D:D,Turnaus!D37,Lauantai!H:H)+SUMIF(Sunnuntai!D:D,Turnaus!D37,Sunnuntai!H:H)</f>
        <v>-4.3000000000000007</v>
      </c>
      <c r="F37" s="26"/>
      <c r="G37" s="19">
        <f>COUNTIF(Perjantai!D:D,D37)+COUNTIF(Lauantai!D:D,D37)+COUNTIF(Sunnuntai!D:D,D37)</f>
        <v>8</v>
      </c>
      <c r="H37" s="30"/>
      <c r="I37" s="19">
        <f>COUNTIFS(Perjantai!D:D,D37,Perjantai!C:C,1)+COUNTIFS(Lauantai!D:D,D37,Lauantai!C:C,1)+COUNTIFS(Sunnuntai!D:D,D37,Sunnuntai!C:C,1)</f>
        <v>1</v>
      </c>
      <c r="J37" s="33">
        <f t="shared" si="8"/>
        <v>0.125</v>
      </c>
      <c r="K37" s="19">
        <f>COUNTIFS(Perjantai!D:D,D37,Perjantai!H:H,"&gt;0")+COUNTIFS(Lauantai!D:D,D37,Lauantai!H:H,"&gt;0")+COUNTIFS(Sunnuntai!D:D,D37,Sunnuntai!H:H,"&gt;0")</f>
        <v>3</v>
      </c>
      <c r="L37" s="33">
        <f t="shared" si="9"/>
        <v>0.375</v>
      </c>
      <c r="M37" s="19">
        <f>COUNTIFS(Perjantai!D:D,D37,Perjantai!H:H,"&lt;0")+COUNTIFS(Lauantai!D:D,D37,Lauantai!H:H,"&lt;0")+COUNTIFS(Sunnuntai!D:D,D37,Sunnuntai!H:H,"&lt;0")</f>
        <v>5</v>
      </c>
      <c r="N37" s="33">
        <f t="shared" si="10"/>
        <v>0.625</v>
      </c>
      <c r="O37" s="36">
        <f>COUNTIFS(Perjantai!D:D,D37,Perjantai!C:C,0)+COUNTIFS(Lauantai!D:D,D37,Lauantai!C:C,0)+COUNTIFS(Sunnuntai!D:D,D37,Sunnuntai!C:C,0)</f>
        <v>4</v>
      </c>
      <c r="P37" s="33">
        <f t="shared" si="11"/>
        <v>0.5</v>
      </c>
      <c r="Q37" s="13">
        <f>SUMIF(Perjantai!D:D,Turnaus!D37,Perjantai!F:F)+SUMIF(Lauantai!D:D,Turnaus!D37,Lauantai!F:F)+SUMIF(Sunnuntai!D:D,Turnaus!D37,Sunnuntai!F:F)</f>
        <v>287</v>
      </c>
      <c r="R37" s="12"/>
      <c r="T37" s="12"/>
      <c r="V37" s="12"/>
    </row>
    <row r="38" spans="2:22" s="11" customFormat="1" x14ac:dyDescent="0.2">
      <c r="B38" s="19">
        <v>10</v>
      </c>
      <c r="C38" s="20">
        <v>1</v>
      </c>
      <c r="D38" s="11" t="s">
        <v>17</v>
      </c>
      <c r="E38" s="25">
        <f>SUMIF(Perjantai!D:D,Turnaus!D38,Perjantai!H:H)+SUMIF(Lauantai!D:D,Turnaus!D38,Lauantai!H:H)+SUMIF(Sunnuntai!D:D,Turnaus!D38,Sunnuntai!H:H)</f>
        <v>-5.026190476190477</v>
      </c>
      <c r="F38" s="26"/>
      <c r="G38" s="19">
        <f>COUNTIF(Perjantai!D:D,D38)+COUNTIF(Lauantai!D:D,D38)+COUNTIF(Sunnuntai!D:D,D38)</f>
        <v>11</v>
      </c>
      <c r="H38" s="30"/>
      <c r="I38" s="19">
        <f>COUNTIFS(Perjantai!D:D,D38,Perjantai!C:C,1)+COUNTIFS(Lauantai!D:D,D38,Lauantai!C:C,1)+COUNTIFS(Sunnuntai!D:D,D38,Sunnuntai!C:C,1)</f>
        <v>2</v>
      </c>
      <c r="J38" s="33">
        <f t="shared" ref="J38" si="12">I38/$G38</f>
        <v>0.18181818181818182</v>
      </c>
      <c r="K38" s="19">
        <f>COUNTIFS(Perjantai!D:D,D38,Perjantai!H:H,"&gt;0")+COUNTIFS(Lauantai!D:D,D38,Lauantai!H:H,"&gt;0")+COUNTIFS(Sunnuntai!D:D,D38,Sunnuntai!H:H,"&gt;0")</f>
        <v>2</v>
      </c>
      <c r="L38" s="33">
        <f t="shared" ref="L38" si="13">K38/$G38</f>
        <v>0.18181818181818182</v>
      </c>
      <c r="M38" s="19">
        <f>COUNTIFS(Perjantai!D:D,D38,Perjantai!H:H,"&lt;0")+COUNTIFS(Lauantai!D:D,D38,Lauantai!H:H,"&lt;0")+COUNTIFS(Sunnuntai!D:D,D38,Sunnuntai!H:H,"&lt;0")</f>
        <v>9</v>
      </c>
      <c r="N38" s="33">
        <f t="shared" ref="N38" si="14">M38/$G38</f>
        <v>0.81818181818181823</v>
      </c>
      <c r="O38" s="36">
        <f>COUNTIFS(Perjantai!D:D,D38,Perjantai!C:C,0)+COUNTIFS(Lauantai!D:D,D38,Lauantai!C:C,0)+COUNTIFS(Sunnuntai!D:D,D38,Sunnuntai!C:C,0)</f>
        <v>3</v>
      </c>
      <c r="P38" s="33">
        <f t="shared" ref="P38" si="15">O38/$G38</f>
        <v>0.27272727272727271</v>
      </c>
      <c r="Q38" s="13">
        <f>SUMIF(Perjantai!D:D,Turnaus!D38,Perjantai!F:F)+SUMIF(Lauantai!D:D,Turnaus!D38,Lauantai!F:F)+SUMIF(Sunnuntai!D:D,Turnaus!D38,Sunnuntai!F:F)</f>
        <v>823</v>
      </c>
      <c r="R38" s="12"/>
      <c r="T38" s="12"/>
      <c r="V38" s="12"/>
    </row>
    <row r="39" spans="2:22" s="11" customFormat="1" x14ac:dyDescent="0.2">
      <c r="B39" s="19">
        <v>11</v>
      </c>
      <c r="C39" s="20">
        <v>1</v>
      </c>
      <c r="D39" s="11" t="s">
        <v>19</v>
      </c>
      <c r="E39" s="25">
        <f>SUMIF(Perjantai!D:D,Turnaus!D39,Perjantai!H:H)+SUMIF(Lauantai!D:D,Turnaus!D39,Lauantai!H:H)+SUMIF(Sunnuntai!D:D,Turnaus!D39,Sunnuntai!H:H)</f>
        <v>-6.0333333333333332</v>
      </c>
      <c r="F39" s="26"/>
      <c r="G39" s="19">
        <f>COUNTIF(Perjantai!D:D,D39)+COUNTIF(Lauantai!D:D,D39)+COUNTIF(Sunnuntai!D:D,D39)</f>
        <v>4</v>
      </c>
      <c r="H39" s="30"/>
      <c r="I39" s="19">
        <f>COUNTIFS(Perjantai!D:D,D39,Perjantai!C:C,1)+COUNTIFS(Lauantai!D:D,D39,Lauantai!C:C,1)+COUNTIFS(Sunnuntai!D:D,D39,Sunnuntai!C:C,1)</f>
        <v>0</v>
      </c>
      <c r="J39" s="33">
        <f t="shared" si="8"/>
        <v>0</v>
      </c>
      <c r="K39" s="19">
        <f>COUNTIFS(Perjantai!D:D,D39,Perjantai!H:H,"&gt;0")+COUNTIFS(Lauantai!D:D,D39,Lauantai!H:H,"&gt;0")+COUNTIFS(Sunnuntai!D:D,D39,Sunnuntai!H:H,"&gt;0")</f>
        <v>0</v>
      </c>
      <c r="L39" s="33">
        <f t="shared" si="9"/>
        <v>0</v>
      </c>
      <c r="M39" s="19">
        <f>COUNTIFS(Perjantai!D:D,D39,Perjantai!H:H,"&lt;0")+COUNTIFS(Lauantai!D:D,D39,Lauantai!H:H,"&lt;0")+COUNTIFS(Sunnuntai!D:D,D39,Sunnuntai!H:H,"&lt;0")</f>
        <v>4</v>
      </c>
      <c r="N39" s="33">
        <f t="shared" si="10"/>
        <v>1</v>
      </c>
      <c r="O39" s="36">
        <f>COUNTIFS(Perjantai!D:D,D39,Perjantai!C:C,0)+COUNTIFS(Lauantai!D:D,D39,Lauantai!C:C,0)+COUNTIFS(Sunnuntai!D:D,D39,Sunnuntai!C:C,0)</f>
        <v>1</v>
      </c>
      <c r="P39" s="33">
        <f t="shared" si="11"/>
        <v>0.25</v>
      </c>
      <c r="Q39" s="13">
        <f>SUMIF(Perjantai!D:D,Turnaus!D39,Perjantai!F:F)+SUMIF(Lauantai!D:D,Turnaus!D39,Lauantai!F:F)+SUMIF(Sunnuntai!D:D,Turnaus!D39,Sunnuntai!F:F)</f>
        <v>44</v>
      </c>
      <c r="R39" s="12"/>
      <c r="T39" s="12"/>
      <c r="V39" s="12"/>
    </row>
    <row r="40" spans="2:22" s="14" customFormat="1" x14ac:dyDescent="0.2">
      <c r="B40" s="21">
        <v>12</v>
      </c>
      <c r="C40" s="22">
        <v>-2</v>
      </c>
      <c r="D40" s="14" t="s">
        <v>63</v>
      </c>
      <c r="E40" s="27">
        <f>SUMIF(Perjantai!D:D,Turnaus!D40,Perjantai!H:H)+SUMIF(Lauantai!D:D,Turnaus!D40,Lauantai!H:H)+SUMIF(Sunnuntai!D:D,Turnaus!D40,Sunnuntai!H:H)</f>
        <v>-6.7333333333333325</v>
      </c>
      <c r="F40" s="28">
        <f>SUMIF(Sunnuntai!D:D,Turnaus!D40,Sunnuntai!H:H)</f>
        <v>-1.75</v>
      </c>
      <c r="G40" s="21">
        <f>COUNTIF(Perjantai!D:D,D40)+COUNTIF(Lauantai!D:D,D40)+COUNTIF(Sunnuntai!D:D,D40)</f>
        <v>10</v>
      </c>
      <c r="H40" s="31">
        <f>COUNTIF(Sunnuntai!D:D,D40)</f>
        <v>1</v>
      </c>
      <c r="I40" s="21">
        <f>COUNTIFS(Perjantai!D:D,D40,Perjantai!C:C,1)+COUNTIFS(Lauantai!D:D,D40,Lauantai!C:C,1)+COUNTIFS(Sunnuntai!D:D,D40,Sunnuntai!C:C,1)</f>
        <v>1</v>
      </c>
      <c r="J40" s="34">
        <f t="shared" si="8"/>
        <v>0.1</v>
      </c>
      <c r="K40" s="21">
        <f>COUNTIFS(Perjantai!D:D,D40,Perjantai!H:H,"&gt;0")+COUNTIFS(Lauantai!D:D,D40,Lauantai!H:H,"&gt;0")+COUNTIFS(Sunnuntai!D:D,D40,Sunnuntai!H:H,"&gt;0")</f>
        <v>2</v>
      </c>
      <c r="L40" s="34">
        <f t="shared" si="9"/>
        <v>0.2</v>
      </c>
      <c r="M40" s="21">
        <f>COUNTIFS(Perjantai!D:D,D40,Perjantai!H:H,"&lt;0")+COUNTIFS(Lauantai!D:D,D40,Lauantai!H:H,"&lt;0")+COUNTIFS(Sunnuntai!D:D,D40,Sunnuntai!H:H,"&lt;0")</f>
        <v>8</v>
      </c>
      <c r="N40" s="34">
        <f t="shared" si="10"/>
        <v>0.8</v>
      </c>
      <c r="O40" s="37">
        <f>COUNTIFS(Perjantai!D:D,D40,Perjantai!C:C,0)+COUNTIFS(Lauantai!D:D,D40,Lauantai!C:C,0)+COUNTIFS(Sunnuntai!D:D,D40,Sunnuntai!C:C,0)</f>
        <v>4</v>
      </c>
      <c r="P40" s="34">
        <f t="shared" si="11"/>
        <v>0.4</v>
      </c>
      <c r="Q40" s="16">
        <f>SUMIF(Perjantai!D:D,Turnaus!D40,Perjantai!F:F)+SUMIF(Lauantai!D:D,Turnaus!D40,Lauantai!F:F)+SUMIF(Sunnuntai!D:D,Turnaus!D40,Sunnuntai!F:F)</f>
        <v>748</v>
      </c>
      <c r="R40" s="15"/>
      <c r="T40" s="15"/>
      <c r="V40" s="15"/>
    </row>
  </sheetData>
  <sortState ref="D8:E17">
    <sortCondition descending="1" ref="E8:E17"/>
  </sortState>
  <conditionalFormatting sqref="G1:G4 G6:G10 G13:G24 G26:G37 G39:G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{927997D6-7F12-44B2-A762-7A5BBF5F8468}</x14:id>
        </ext>
      </extLst>
    </cfRule>
  </conditionalFormatting>
  <conditionalFormatting sqref="J1:J4 J6:J10 J13:J24 J26:J37 J39:J1048576">
    <cfRule type="colorScale" priority="76">
      <colorScale>
        <cfvo type="min"/>
        <cfvo type="max"/>
        <color rgb="FFFCFCFF"/>
        <color rgb="FFFFC000"/>
      </colorScale>
    </cfRule>
  </conditionalFormatting>
  <conditionalFormatting sqref="L1:L4 L6:L10 L13:L24 L26:L37 L39:L1048576">
    <cfRule type="colorScale" priority="74">
      <colorScale>
        <cfvo type="min"/>
        <cfvo type="max"/>
        <color rgb="FFFCFCFF"/>
        <color rgb="FF63BE7B"/>
      </colorScale>
    </cfRule>
  </conditionalFormatting>
  <conditionalFormatting sqref="N1:N4 N6:N10 N13:N24 N26:N37 N39:N1048576">
    <cfRule type="colorScale" priority="73">
      <colorScale>
        <cfvo type="min"/>
        <cfvo type="max"/>
        <color rgb="FFFCFCFF"/>
        <color rgb="FFF8696B"/>
      </colorScale>
    </cfRule>
  </conditionalFormatting>
  <conditionalFormatting sqref="P1:P4 P6:P10 P13:P24 P26:P37 P39:P1048576">
    <cfRule type="colorScale" priority="45">
      <colorScale>
        <cfvo type="min"/>
        <cfvo type="max"/>
        <color rgb="FFFCFCFF"/>
        <color rgb="FF663300"/>
      </colorScale>
    </cfRule>
  </conditionalFormatting>
  <conditionalFormatting sqref="G5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{7D7E4B24-E819-4169-A502-857D62D52525}</x14:id>
        </ext>
      </extLst>
    </cfRule>
  </conditionalFormatting>
  <conditionalFormatting sqref="J5">
    <cfRule type="colorScale" priority="43">
      <colorScale>
        <cfvo type="min"/>
        <cfvo type="max"/>
        <color rgb="FFFCFCFF"/>
        <color rgb="FFFFC000"/>
      </colorScale>
    </cfRule>
  </conditionalFormatting>
  <conditionalFormatting sqref="L5">
    <cfRule type="colorScale" priority="41">
      <colorScale>
        <cfvo type="min"/>
        <cfvo type="max"/>
        <color rgb="FFFCFCFF"/>
        <color rgb="FF63BE7B"/>
      </colorScale>
    </cfRule>
  </conditionalFormatting>
  <conditionalFormatting sqref="N5">
    <cfRule type="colorScale" priority="40">
      <colorScale>
        <cfvo type="min"/>
        <cfvo type="max"/>
        <color rgb="FFFCFCFF"/>
        <color rgb="FFF8696B"/>
      </colorScale>
    </cfRule>
  </conditionalFormatting>
  <conditionalFormatting sqref="P5">
    <cfRule type="colorScale" priority="39">
      <colorScale>
        <cfvo type="min"/>
        <cfvo type="max"/>
        <color rgb="FFFCFCFF"/>
        <color rgb="FF663300"/>
      </colorScale>
    </cfRule>
  </conditionalFormatting>
  <conditionalFormatting sqref="G1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{55670834-59CD-4060-9A73-55ABBA0D4A92}</x14:id>
        </ext>
      </extLst>
    </cfRule>
  </conditionalFormatting>
  <conditionalFormatting sqref="J11">
    <cfRule type="colorScale" priority="37">
      <colorScale>
        <cfvo type="min"/>
        <cfvo type="max"/>
        <color rgb="FFFCFCFF"/>
        <color rgb="FFFFC000"/>
      </colorScale>
    </cfRule>
  </conditionalFormatting>
  <conditionalFormatting sqref="L11">
    <cfRule type="colorScale" priority="35">
      <colorScale>
        <cfvo type="min"/>
        <cfvo type="max"/>
        <color rgb="FFFCFCFF"/>
        <color rgb="FF63BE7B"/>
      </colorScale>
    </cfRule>
  </conditionalFormatting>
  <conditionalFormatting sqref="N11">
    <cfRule type="colorScale" priority="34">
      <colorScale>
        <cfvo type="min"/>
        <cfvo type="max"/>
        <color rgb="FFFCFCFF"/>
        <color rgb="FFF8696B"/>
      </colorScale>
    </cfRule>
  </conditionalFormatting>
  <conditionalFormatting sqref="P11">
    <cfRule type="colorScale" priority="33">
      <colorScale>
        <cfvo type="min"/>
        <cfvo type="max"/>
        <color rgb="FFFCFCFF"/>
        <color rgb="FF663300"/>
      </colorScale>
    </cfRule>
  </conditionalFormatting>
  <conditionalFormatting sqref="G1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{DBFB9858-9F78-4950-BF8A-6BFDFE92BD2C}</x14:id>
        </ext>
      </extLst>
    </cfRule>
  </conditionalFormatting>
  <conditionalFormatting sqref="J12">
    <cfRule type="colorScale" priority="31">
      <colorScale>
        <cfvo type="min"/>
        <cfvo type="max"/>
        <color rgb="FFFCFCFF"/>
        <color rgb="FFFFC000"/>
      </colorScale>
    </cfRule>
  </conditionalFormatting>
  <conditionalFormatting sqref="L12">
    <cfRule type="colorScale" priority="29">
      <colorScale>
        <cfvo type="min"/>
        <cfvo type="max"/>
        <color rgb="FFFCFCFF"/>
        <color rgb="FF63BE7B"/>
      </colorScale>
    </cfRule>
  </conditionalFormatting>
  <conditionalFormatting sqref="N12">
    <cfRule type="colorScale" priority="28">
      <colorScale>
        <cfvo type="min"/>
        <cfvo type="max"/>
        <color rgb="FFFCFCFF"/>
        <color rgb="FFF8696B"/>
      </colorScale>
    </cfRule>
  </conditionalFormatting>
  <conditionalFormatting sqref="P12">
    <cfRule type="colorScale" priority="27">
      <colorScale>
        <cfvo type="min"/>
        <cfvo type="max"/>
        <color rgb="FFFCFCFF"/>
        <color rgb="FF663300"/>
      </colorScale>
    </cfRule>
  </conditionalFormatting>
  <conditionalFormatting sqref="G2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{98C6A77B-1247-4ABA-9942-1F325E5A4687}</x14:id>
        </ext>
      </extLst>
    </cfRule>
  </conditionalFormatting>
  <conditionalFormatting sqref="J25">
    <cfRule type="colorScale" priority="25">
      <colorScale>
        <cfvo type="min"/>
        <cfvo type="max"/>
        <color rgb="FFFCFCFF"/>
        <color rgb="FFFFC000"/>
      </colorScale>
    </cfRule>
  </conditionalFormatting>
  <conditionalFormatting sqref="L25">
    <cfRule type="colorScale" priority="23">
      <colorScale>
        <cfvo type="min"/>
        <cfvo type="max"/>
        <color rgb="FFFCFCFF"/>
        <color rgb="FF63BE7B"/>
      </colorScale>
    </cfRule>
  </conditionalFormatting>
  <conditionalFormatting sqref="N25">
    <cfRule type="colorScale" priority="22">
      <colorScale>
        <cfvo type="min"/>
        <cfvo type="max"/>
        <color rgb="FFFCFCFF"/>
        <color rgb="FFF8696B"/>
      </colorScale>
    </cfRule>
  </conditionalFormatting>
  <conditionalFormatting sqref="P25">
    <cfRule type="colorScale" priority="21">
      <colorScale>
        <cfvo type="min"/>
        <cfvo type="max"/>
        <color rgb="FFFCFCFF"/>
        <color rgb="FF663300"/>
      </colorScale>
    </cfRule>
  </conditionalFormatting>
  <conditionalFormatting sqref="L1:L37 L39:L104857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3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{0A1E9030-B92F-44C3-B496-A044FEED5A98}</x14:id>
        </ext>
      </extLst>
    </cfRule>
  </conditionalFormatting>
  <conditionalFormatting sqref="J38">
    <cfRule type="colorScale" priority="18">
      <colorScale>
        <cfvo type="min"/>
        <cfvo type="max"/>
        <color rgb="FFFCFCFF"/>
        <color rgb="FFFFC000"/>
      </colorScale>
    </cfRule>
  </conditionalFormatting>
  <conditionalFormatting sqref="L38">
    <cfRule type="colorScale" priority="16">
      <colorScale>
        <cfvo type="min"/>
        <cfvo type="max"/>
        <color rgb="FFFCFCFF"/>
        <color rgb="FF63BE7B"/>
      </colorScale>
    </cfRule>
  </conditionalFormatting>
  <conditionalFormatting sqref="N38">
    <cfRule type="colorScale" priority="15">
      <colorScale>
        <cfvo type="min"/>
        <cfvo type="max"/>
        <color rgb="FFFCFCFF"/>
        <color rgb="FFF8696B"/>
      </colorScale>
    </cfRule>
  </conditionalFormatting>
  <conditionalFormatting sqref="P38">
    <cfRule type="colorScale" priority="14">
      <colorScale>
        <cfvo type="min"/>
        <cfvo type="max"/>
        <color rgb="FFFCFCFF"/>
        <color rgb="FF663300"/>
      </colorScale>
    </cfRule>
  </conditionalFormatting>
  <conditionalFormatting sqref="L38">
    <cfRule type="colorScale" priority="13">
      <colorScale>
        <cfvo type="min"/>
        <cfvo type="max"/>
        <color rgb="FFFCFCFF"/>
        <color rgb="FF63BE7B"/>
      </colorScale>
    </cfRule>
  </conditionalFormatting>
  <conditionalFormatting sqref="L1:L1048576">
    <cfRule type="colorScale" priority="5">
      <colorScale>
        <cfvo type="percent" val="0"/>
        <cfvo type="percent" val="100"/>
        <color theme="0"/>
        <color rgb="FF00B050"/>
      </colorScale>
    </cfRule>
    <cfRule type="colorScale" priority="7">
      <colorScale>
        <cfvo type="percent" val="0"/>
        <cfvo type="percent" val="100"/>
        <color theme="0"/>
        <color rgb="FF92D050"/>
      </colorScale>
    </cfRule>
    <cfRule type="colorScale" priority="12">
      <colorScale>
        <cfvo type="min"/>
        <cfvo type="max"/>
        <color rgb="FFFCFCFF"/>
        <color rgb="FF63BE7B"/>
      </colorScale>
    </cfRule>
  </conditionalFormatting>
  <conditionalFormatting sqref="N1:N1048576">
    <cfRule type="colorScale" priority="6">
      <colorScale>
        <cfvo type="percent" val="0"/>
        <cfvo type="percent" val="100"/>
        <color theme="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</conditionalFormatting>
  <conditionalFormatting sqref="P1:P1048576">
    <cfRule type="colorScale" priority="10">
      <colorScale>
        <cfvo type="min"/>
        <cfvo type="max"/>
        <color theme="0"/>
        <color rgb="FF663300"/>
      </colorScale>
    </cfRule>
  </conditionalFormatting>
  <conditionalFormatting sqref="J1:J1048576">
    <cfRule type="colorScale" priority="4">
      <colorScale>
        <cfvo type="percent" val="0"/>
        <cfvo type="percent" val="100"/>
        <color theme="0"/>
        <color rgb="FFFFC000"/>
      </colorScale>
    </cfRule>
    <cfRule type="colorScale" priority="8">
      <colorScale>
        <cfvo type="percent" val="0"/>
        <cfvo type="percent" val="100"/>
        <color theme="0"/>
        <color rgb="FFFFFF00"/>
      </colorScale>
    </cfRule>
    <cfRule type="colorScale" priority="9">
      <colorScale>
        <cfvo type="min"/>
        <cfvo type="max"/>
        <color theme="0"/>
        <color rgb="FFFFFF00"/>
      </colorScale>
    </cfRule>
  </conditionalFormatting>
  <conditionalFormatting sqref="G1:G104857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{2A295E91-34DF-4B6F-8F55-1AD3ED6F7822}</x14:id>
        </ext>
      </extLst>
    </cfRule>
  </conditionalFormatting>
  <printOptions horizontalCentered="1"/>
  <pageMargins left="0.31496062992125984" right="0.31496062992125984" top="0.82677165354330717" bottom="0.74803149606299213" header="0.31496062992125984" footer="0.31496062992125984"/>
  <pageSetup paperSize="9" orientation="portrait" r:id="rId1"/>
  <headerFooter>
    <oddHeader>&amp;C&amp;G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7997D6-7F12-44B2-A762-7A5BBF5F84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G1:G4 G6:G10 G13:G24 G26:G37 G39:G1048576</xm:sqref>
        </x14:conditionalFormatting>
        <x14:conditionalFormatting xmlns:xm="http://schemas.microsoft.com/office/excel/2006/main">
          <x14:cfRule type="dataBar" id="{7D7E4B24-E819-4169-A502-857D62D525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55670834-59CD-4060-9A73-55ABBA0D4A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DBFB9858-9F78-4950-BF8A-6BFDFE92BD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G12</xm:sqref>
        </x14:conditionalFormatting>
        <x14:conditionalFormatting xmlns:xm="http://schemas.microsoft.com/office/excel/2006/main">
          <x14:cfRule type="dataBar" id="{98C6A77B-1247-4ABA-9942-1F325E5A46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G25</xm:sqref>
        </x14:conditionalFormatting>
        <x14:conditionalFormatting xmlns:xm="http://schemas.microsoft.com/office/excel/2006/main">
          <x14:cfRule type="dataBar" id="{0A1E9030-B92F-44C3-B496-A044FEED5A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G38</xm:sqref>
        </x14:conditionalFormatting>
        <x14:conditionalFormatting xmlns:xm="http://schemas.microsoft.com/office/excel/2006/main">
          <x14:cfRule type="dataBar" id="{2A295E91-34DF-4B6F-8F55-1AD3ED6F78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  <x14:conditionalFormatting xmlns:xm="http://schemas.microsoft.com/office/excel/2006/main">
          <x14:cfRule type="iconSet" priority="85" id="{A7D5B81C-BF77-4EED-9980-4AD6DDC6FB3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F1:F4 F6:F10 F13:F24 F26:F37 F39:F1048576</xm:sqref>
        </x14:conditionalFormatting>
        <x14:conditionalFormatting xmlns:xm="http://schemas.microsoft.com/office/excel/2006/main">
          <x14:cfRule type="iconSet" priority="84" id="{8EC1214D-0FA6-4800-978A-2B1EE3B31806}">
            <x14:iconSet iconSet="3Triangles" reverse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14:cfRule type="iconSet" priority="2" id="{0849B4EA-D5C3-4C48-9C0E-551DCEC8B29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afficLights1" iconId="1"/>
              <x14:cfIcon iconSet="3Arrows" iconId="2"/>
            </x14:iconSet>
          </x14:cfRule>
          <x14:cfRule type="iconSet" priority="1" id="{56437CDA-CD4B-482B-BB72-E1420F42363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C1:C1048576</xm:sqref>
        </x14:conditionalFormatting>
        <x14:conditionalFormatting xmlns:xm="http://schemas.microsoft.com/office/excel/2006/main">
          <x14:cfRule type="iconSet" priority="44" id="{CB579BCC-A51B-4305-9918-76EA1000799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F5</xm:sqref>
        </x14:conditionalFormatting>
        <x14:conditionalFormatting xmlns:xm="http://schemas.microsoft.com/office/excel/2006/main">
          <x14:cfRule type="iconSet" priority="38" id="{995C1440-D7D6-4F30-A3FD-BB4FB933A0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F11</xm:sqref>
        </x14:conditionalFormatting>
        <x14:conditionalFormatting xmlns:xm="http://schemas.microsoft.com/office/excel/2006/main">
          <x14:cfRule type="iconSet" priority="32" id="{2DC99837-E5C7-4546-948C-3B9A3C0EEF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F12</xm:sqref>
        </x14:conditionalFormatting>
        <x14:conditionalFormatting xmlns:xm="http://schemas.microsoft.com/office/excel/2006/main">
          <x14:cfRule type="iconSet" priority="26" id="{CFA7F953-2876-4009-B9C7-B00D5CB015D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F25</xm:sqref>
        </x14:conditionalFormatting>
        <x14:conditionalFormatting xmlns:xm="http://schemas.microsoft.com/office/excel/2006/main">
          <x14:cfRule type="iconSet" priority="19" id="{4374B2A1-CF0D-4BF3-89B8-0050996A0A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2" max="2" width="22.85546875" customWidth="1"/>
    <col min="5" max="5" width="18.28515625" customWidth="1"/>
    <col min="7" max="7" width="18.28515625" customWidth="1"/>
    <col min="8" max="8" width="9.140625" style="3"/>
  </cols>
  <sheetData>
    <row r="1" spans="1:8" x14ac:dyDescent="0.25">
      <c r="A1" t="s">
        <v>1</v>
      </c>
      <c r="B1" t="s">
        <v>0</v>
      </c>
      <c r="C1" t="s">
        <v>9</v>
      </c>
      <c r="D1" t="s">
        <v>32</v>
      </c>
      <c r="E1" t="s">
        <v>8</v>
      </c>
      <c r="F1" t="s">
        <v>2</v>
      </c>
      <c r="G1" t="s">
        <v>8</v>
      </c>
      <c r="H1" s="3" t="s">
        <v>3</v>
      </c>
    </row>
    <row r="3" spans="1:8" x14ac:dyDescent="0.25">
      <c r="A3" s="2">
        <v>0.76388888888888884</v>
      </c>
      <c r="B3" t="s">
        <v>46</v>
      </c>
      <c r="C3">
        <v>1</v>
      </c>
      <c r="D3" t="s">
        <v>5</v>
      </c>
      <c r="F3">
        <v>37</v>
      </c>
      <c r="H3" s="3">
        <f>Pisteytys!C4</f>
        <v>1.6666666666666667</v>
      </c>
    </row>
    <row r="4" spans="1:8" x14ac:dyDescent="0.25">
      <c r="B4" s="4"/>
      <c r="C4">
        <v>2</v>
      </c>
      <c r="D4" t="s">
        <v>4</v>
      </c>
      <c r="F4">
        <v>32</v>
      </c>
      <c r="H4" s="3">
        <f>Pisteytys!C5</f>
        <v>-0.33333333333333326</v>
      </c>
    </row>
    <row r="5" spans="1:8" x14ac:dyDescent="0.25">
      <c r="C5">
        <v>0</v>
      </c>
      <c r="D5" t="s">
        <v>15</v>
      </c>
      <c r="F5">
        <v>23</v>
      </c>
      <c r="H5" s="3">
        <f>Pisteytys!C6</f>
        <v>-1.3333333333333333</v>
      </c>
    </row>
    <row r="7" spans="1:8" x14ac:dyDescent="0.25">
      <c r="A7" s="2">
        <v>0.80555555555555547</v>
      </c>
      <c r="B7" t="s">
        <v>18</v>
      </c>
      <c r="C7">
        <v>1</v>
      </c>
      <c r="D7" t="s">
        <v>15</v>
      </c>
      <c r="F7">
        <v>142</v>
      </c>
      <c r="H7" s="3">
        <f>Pisteytys!C4</f>
        <v>1.6666666666666667</v>
      </c>
    </row>
    <row r="8" spans="1:8" x14ac:dyDescent="0.25">
      <c r="A8" s="2"/>
      <c r="C8">
        <v>2</v>
      </c>
      <c r="D8" t="s">
        <v>4</v>
      </c>
      <c r="F8">
        <v>136</v>
      </c>
      <c r="H8" s="3">
        <f>Pisteytys!C5</f>
        <v>-0.33333333333333326</v>
      </c>
    </row>
    <row r="9" spans="1:8" x14ac:dyDescent="0.25">
      <c r="B9" s="4"/>
      <c r="C9">
        <v>0</v>
      </c>
      <c r="D9" t="s">
        <v>5</v>
      </c>
      <c r="F9">
        <v>99</v>
      </c>
      <c r="H9" s="3">
        <f>Pisteytys!C6</f>
        <v>-1.3333333333333333</v>
      </c>
    </row>
    <row r="11" spans="1:8" x14ac:dyDescent="0.25">
      <c r="A11" s="2">
        <v>0.84027777777777779</v>
      </c>
      <c r="B11" t="s">
        <v>20</v>
      </c>
      <c r="C11">
        <v>1</v>
      </c>
      <c r="D11" t="s">
        <v>47</v>
      </c>
      <c r="F11">
        <v>650</v>
      </c>
      <c r="H11" s="3">
        <f>Pisteytys!D4</f>
        <v>2.25</v>
      </c>
    </row>
    <row r="12" spans="1:8" x14ac:dyDescent="0.25">
      <c r="C12">
        <v>2</v>
      </c>
      <c r="D12" t="s">
        <v>48</v>
      </c>
      <c r="F12">
        <v>478</v>
      </c>
      <c r="H12" s="3">
        <f>Pisteytys!D5</f>
        <v>0.25</v>
      </c>
    </row>
    <row r="13" spans="1:8" x14ac:dyDescent="0.25">
      <c r="A13" s="2"/>
      <c r="C13">
        <v>3</v>
      </c>
      <c r="D13" t="s">
        <v>17</v>
      </c>
      <c r="F13">
        <v>465</v>
      </c>
      <c r="H13" s="3">
        <f>Pisteytys!D6</f>
        <v>-0.75</v>
      </c>
    </row>
    <row r="14" spans="1:8" x14ac:dyDescent="0.25">
      <c r="B14" s="4"/>
      <c r="C14">
        <v>0</v>
      </c>
      <c r="D14" t="s">
        <v>49</v>
      </c>
      <c r="F14">
        <v>379</v>
      </c>
      <c r="H14" s="3">
        <f>Pisteytys!D7</f>
        <v>-1.75</v>
      </c>
    </row>
    <row r="15" spans="1:8" x14ac:dyDescent="0.25">
      <c r="B15" s="4"/>
    </row>
    <row r="16" spans="1:8" x14ac:dyDescent="0.25">
      <c r="A16" s="2">
        <v>0.90277777777777779</v>
      </c>
      <c r="B16" t="s">
        <v>7</v>
      </c>
      <c r="C16">
        <v>1</v>
      </c>
      <c r="D16" t="s">
        <v>48</v>
      </c>
      <c r="E16" t="s">
        <v>54</v>
      </c>
      <c r="F16">
        <v>62</v>
      </c>
      <c r="H16" s="3">
        <f>Pisteytys!G4</f>
        <v>3.8571428571428572</v>
      </c>
    </row>
    <row r="17" spans="1:8" x14ac:dyDescent="0.25">
      <c r="C17">
        <v>2</v>
      </c>
      <c r="D17" t="s">
        <v>15</v>
      </c>
      <c r="E17" t="s">
        <v>51</v>
      </c>
      <c r="F17">
        <v>53</v>
      </c>
      <c r="H17" s="3">
        <f>Pisteytys!G5</f>
        <v>1.8571428571428572</v>
      </c>
    </row>
    <row r="18" spans="1:8" x14ac:dyDescent="0.25">
      <c r="A18" s="2"/>
      <c r="C18">
        <v>3</v>
      </c>
      <c r="D18" t="s">
        <v>49</v>
      </c>
      <c r="E18" t="s">
        <v>53</v>
      </c>
      <c r="F18">
        <v>52</v>
      </c>
      <c r="H18" s="3">
        <f>Pisteytys!G6</f>
        <v>0.85714285714285721</v>
      </c>
    </row>
    <row r="19" spans="1:8" x14ac:dyDescent="0.25">
      <c r="B19" s="4"/>
      <c r="C19">
        <v>4</v>
      </c>
      <c r="D19" t="s">
        <v>5</v>
      </c>
      <c r="E19" t="s">
        <v>56</v>
      </c>
      <c r="F19">
        <v>42</v>
      </c>
      <c r="H19" s="3">
        <f>Pisteytys!G7</f>
        <v>-0.14285714285714279</v>
      </c>
    </row>
    <row r="20" spans="1:8" x14ac:dyDescent="0.25">
      <c r="B20" s="4"/>
      <c r="C20">
        <v>5</v>
      </c>
      <c r="D20" t="s">
        <v>47</v>
      </c>
      <c r="E20" t="s">
        <v>52</v>
      </c>
      <c r="F20">
        <v>40</v>
      </c>
      <c r="H20" s="3">
        <f>Pisteytys!G8</f>
        <v>-1.1428571428571428</v>
      </c>
    </row>
    <row r="21" spans="1:8" x14ac:dyDescent="0.25">
      <c r="B21" s="4"/>
      <c r="C21">
        <v>6</v>
      </c>
      <c r="D21" t="s">
        <v>4</v>
      </c>
      <c r="E21" t="s">
        <v>50</v>
      </c>
      <c r="F21">
        <v>37</v>
      </c>
      <c r="H21" s="3">
        <f>Pisteytys!G9</f>
        <v>-2.1428571428571428</v>
      </c>
    </row>
    <row r="22" spans="1:8" x14ac:dyDescent="0.25">
      <c r="C22">
        <v>0</v>
      </c>
      <c r="D22" t="s">
        <v>17</v>
      </c>
      <c r="E22" t="s">
        <v>55</v>
      </c>
      <c r="F22">
        <v>30</v>
      </c>
      <c r="H22" s="3">
        <f>Pisteytys!G10</f>
        <v>-3.1428571428571428</v>
      </c>
    </row>
    <row r="23" spans="1:8" x14ac:dyDescent="0.25">
      <c r="A23" s="2"/>
    </row>
    <row r="24" spans="1:8" x14ac:dyDescent="0.25">
      <c r="A24" s="2">
        <v>0.96527777777777779</v>
      </c>
      <c r="B24" t="s">
        <v>7</v>
      </c>
      <c r="C24">
        <v>1</v>
      </c>
      <c r="D24" t="s">
        <v>49</v>
      </c>
      <c r="E24" t="s">
        <v>57</v>
      </c>
      <c r="F24">
        <v>66</v>
      </c>
      <c r="H24" s="3">
        <f>Pisteytys!F4</f>
        <v>3.3333333333333335</v>
      </c>
    </row>
    <row r="25" spans="1:8" x14ac:dyDescent="0.25">
      <c r="A25" s="2"/>
      <c r="C25">
        <v>2</v>
      </c>
      <c r="D25" t="s">
        <v>15</v>
      </c>
      <c r="E25" t="s">
        <v>58</v>
      </c>
      <c r="F25">
        <v>51</v>
      </c>
      <c r="H25" s="3">
        <f>Pisteytys!F5</f>
        <v>1.3333333333333335</v>
      </c>
    </row>
    <row r="26" spans="1:8" x14ac:dyDescent="0.25">
      <c r="C26">
        <v>3</v>
      </c>
      <c r="D26" t="s">
        <v>48</v>
      </c>
      <c r="E26" t="s">
        <v>60</v>
      </c>
      <c r="F26">
        <v>50</v>
      </c>
      <c r="H26" s="3">
        <f>Pisteytys!F6</f>
        <v>0.33333333333333348</v>
      </c>
    </row>
    <row r="27" spans="1:8" x14ac:dyDescent="0.25">
      <c r="C27">
        <v>4</v>
      </c>
      <c r="D27" t="s">
        <v>4</v>
      </c>
      <c r="E27" t="s">
        <v>55</v>
      </c>
      <c r="F27">
        <v>46</v>
      </c>
      <c r="H27" s="3">
        <f>Pisteytys!F7</f>
        <v>-0.66666666666666652</v>
      </c>
    </row>
    <row r="28" spans="1:8" x14ac:dyDescent="0.25">
      <c r="C28">
        <v>5</v>
      </c>
      <c r="D28" t="s">
        <v>5</v>
      </c>
      <c r="E28" t="s">
        <v>54</v>
      </c>
      <c r="F28">
        <v>42</v>
      </c>
      <c r="H28" s="3">
        <f>Pisteytys!F8</f>
        <v>-1.6666666666666665</v>
      </c>
    </row>
    <row r="29" spans="1:8" x14ac:dyDescent="0.25">
      <c r="C29">
        <v>0</v>
      </c>
      <c r="D29" t="s">
        <v>47</v>
      </c>
      <c r="E29" t="s">
        <v>59</v>
      </c>
      <c r="F29">
        <v>37</v>
      </c>
      <c r="H29" s="3">
        <f>Pisteytys!F9</f>
        <v>-2.6666666666666665</v>
      </c>
    </row>
    <row r="31" spans="1:8" x14ac:dyDescent="0.25">
      <c r="A31" s="2">
        <v>4.1666666666666664E-2</v>
      </c>
      <c r="B31" t="s">
        <v>61</v>
      </c>
      <c r="C31">
        <v>1</v>
      </c>
      <c r="D31" t="s">
        <v>15</v>
      </c>
      <c r="F31">
        <v>3</v>
      </c>
      <c r="H31" s="3">
        <f>Pisteytys!E4</f>
        <v>2.8</v>
      </c>
    </row>
    <row r="32" spans="1:8" x14ac:dyDescent="0.25">
      <c r="C32">
        <v>2</v>
      </c>
      <c r="D32" t="s">
        <v>48</v>
      </c>
      <c r="F32">
        <v>2</v>
      </c>
      <c r="H32" s="3">
        <f>Pisteytys!E5</f>
        <v>0.79999999999999982</v>
      </c>
    </row>
    <row r="33" spans="1:8" x14ac:dyDescent="0.25">
      <c r="C33">
        <v>3</v>
      </c>
      <c r="D33" t="s">
        <v>47</v>
      </c>
      <c r="F33">
        <v>2</v>
      </c>
      <c r="H33" s="3">
        <f>Pisteytys!E6</f>
        <v>-0.20000000000000018</v>
      </c>
    </row>
    <row r="34" spans="1:8" x14ac:dyDescent="0.25">
      <c r="C34">
        <v>4</v>
      </c>
      <c r="D34" t="s">
        <v>5</v>
      </c>
      <c r="F34">
        <v>1</v>
      </c>
      <c r="H34" s="3">
        <f>Pisteytys!E7</f>
        <v>-1.2000000000000002</v>
      </c>
    </row>
    <row r="35" spans="1:8" x14ac:dyDescent="0.25">
      <c r="C35">
        <v>0</v>
      </c>
      <c r="D35" t="s">
        <v>49</v>
      </c>
      <c r="F35">
        <v>0</v>
      </c>
      <c r="H35" s="3">
        <f>Pisteytys!E8</f>
        <v>-2.2000000000000002</v>
      </c>
    </row>
    <row r="37" spans="1:8" x14ac:dyDescent="0.25">
      <c r="A37">
        <f>COUNTA(A2:A36)</f>
        <v>6</v>
      </c>
      <c r="B37" t="s">
        <v>44</v>
      </c>
      <c r="C37">
        <v>7</v>
      </c>
      <c r="D37" t="s">
        <v>45</v>
      </c>
      <c r="G37" t="s">
        <v>29</v>
      </c>
      <c r="H37" s="3">
        <f>SUM(H2:H36)</f>
        <v>3.5527136788005009E-15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0"/>
  <sheetViews>
    <sheetView workbookViewId="0"/>
  </sheetViews>
  <sheetFormatPr defaultRowHeight="15" x14ac:dyDescent="0.25"/>
  <cols>
    <col min="2" max="2" width="22.85546875" customWidth="1"/>
    <col min="5" max="5" width="18.28515625" customWidth="1"/>
    <col min="7" max="7" width="18.28515625" customWidth="1"/>
    <col min="8" max="8" width="9.140625" style="3"/>
  </cols>
  <sheetData>
    <row r="1" spans="1:8" x14ac:dyDescent="0.25">
      <c r="A1" t="s">
        <v>1</v>
      </c>
      <c r="B1" t="s">
        <v>0</v>
      </c>
      <c r="C1" t="s">
        <v>9</v>
      </c>
      <c r="D1" t="s">
        <v>32</v>
      </c>
      <c r="E1" t="s">
        <v>8</v>
      </c>
      <c r="F1" t="s">
        <v>2</v>
      </c>
      <c r="G1" t="s">
        <v>8</v>
      </c>
      <c r="H1" s="3" t="s">
        <v>3</v>
      </c>
    </row>
    <row r="3" spans="1:8" x14ac:dyDescent="0.25">
      <c r="A3" s="2">
        <v>0.4201388888888889</v>
      </c>
      <c r="B3" t="s">
        <v>64</v>
      </c>
      <c r="C3">
        <v>1</v>
      </c>
      <c r="D3" t="s">
        <v>47</v>
      </c>
      <c r="F3">
        <v>61</v>
      </c>
      <c r="H3" s="3">
        <f>Pisteytys!C4</f>
        <v>1.6666666666666667</v>
      </c>
    </row>
    <row r="4" spans="1:8" x14ac:dyDescent="0.25">
      <c r="B4" s="4" t="s">
        <v>65</v>
      </c>
      <c r="C4">
        <v>2</v>
      </c>
      <c r="D4" t="s">
        <v>5</v>
      </c>
      <c r="F4">
        <v>54</v>
      </c>
      <c r="H4" s="3">
        <f>Pisteytys!C5</f>
        <v>-0.33333333333333326</v>
      </c>
    </row>
    <row r="5" spans="1:8" x14ac:dyDescent="0.25">
      <c r="C5">
        <v>0</v>
      </c>
      <c r="D5" t="s">
        <v>15</v>
      </c>
      <c r="F5">
        <v>40</v>
      </c>
      <c r="H5" s="3">
        <f>Pisteytys!C6</f>
        <v>-1.3333333333333333</v>
      </c>
    </row>
    <row r="6" spans="1:8" x14ac:dyDescent="0.25">
      <c r="A6" s="2"/>
    </row>
    <row r="7" spans="1:8" x14ac:dyDescent="0.25">
      <c r="A7" s="2">
        <v>0.48958333333333331</v>
      </c>
      <c r="B7" t="s">
        <v>25</v>
      </c>
      <c r="C7">
        <v>1</v>
      </c>
      <c r="D7" t="s">
        <v>4</v>
      </c>
      <c r="F7">
        <v>86</v>
      </c>
      <c r="H7" s="3">
        <f>Pisteytys!E4</f>
        <v>2.8</v>
      </c>
    </row>
    <row r="8" spans="1:8" x14ac:dyDescent="0.25">
      <c r="A8" s="2"/>
      <c r="B8" s="4" t="s">
        <v>27</v>
      </c>
      <c r="C8">
        <v>2</v>
      </c>
      <c r="D8" t="s">
        <v>5</v>
      </c>
      <c r="F8">
        <v>77</v>
      </c>
      <c r="H8" s="3">
        <f>Pisteytys!E5</f>
        <v>0.79999999999999982</v>
      </c>
    </row>
    <row r="9" spans="1:8" x14ac:dyDescent="0.25">
      <c r="B9" s="4" t="s">
        <v>28</v>
      </c>
      <c r="C9">
        <v>3</v>
      </c>
      <c r="D9" t="s">
        <v>49</v>
      </c>
      <c r="F9">
        <v>75</v>
      </c>
      <c r="H9" s="3">
        <f>Pisteytys!E6</f>
        <v>-0.20000000000000018</v>
      </c>
    </row>
    <row r="10" spans="1:8" x14ac:dyDescent="0.25">
      <c r="B10" s="4" t="s">
        <v>26</v>
      </c>
      <c r="C10">
        <v>4</v>
      </c>
      <c r="D10" t="s">
        <v>48</v>
      </c>
      <c r="F10">
        <v>73</v>
      </c>
      <c r="H10" s="3">
        <f>Pisteytys!E7</f>
        <v>-1.2000000000000002</v>
      </c>
    </row>
    <row r="11" spans="1:8" x14ac:dyDescent="0.25">
      <c r="A11" s="2"/>
      <c r="B11" s="4"/>
      <c r="C11">
        <v>0</v>
      </c>
      <c r="D11" t="s">
        <v>15</v>
      </c>
      <c r="F11">
        <v>66</v>
      </c>
      <c r="H11" s="3">
        <f>Pisteytys!E8</f>
        <v>-2.2000000000000002</v>
      </c>
    </row>
    <row r="12" spans="1:8" x14ac:dyDescent="0.25">
      <c r="A12" s="2"/>
      <c r="B12" s="4"/>
    </row>
    <row r="13" spans="1:8" x14ac:dyDescent="0.25">
      <c r="A13" s="2">
        <v>0.54166666666666663</v>
      </c>
      <c r="B13" s="4" t="s">
        <v>76</v>
      </c>
      <c r="C13">
        <v>1</v>
      </c>
      <c r="D13" t="s">
        <v>49</v>
      </c>
      <c r="F13">
        <v>17</v>
      </c>
      <c r="H13" s="3">
        <f>Pisteytys!D4</f>
        <v>2.25</v>
      </c>
    </row>
    <row r="14" spans="1:8" x14ac:dyDescent="0.25">
      <c r="A14" s="2"/>
      <c r="B14" s="4"/>
      <c r="C14">
        <v>2</v>
      </c>
      <c r="D14" t="s">
        <v>48</v>
      </c>
      <c r="F14">
        <v>10</v>
      </c>
      <c r="G14" s="4" t="s">
        <v>89</v>
      </c>
      <c r="H14" s="3">
        <f>Pisteytys!D5</f>
        <v>0.25</v>
      </c>
    </row>
    <row r="15" spans="1:8" x14ac:dyDescent="0.25">
      <c r="A15" s="2"/>
      <c r="B15" s="4"/>
      <c r="C15">
        <v>3</v>
      </c>
      <c r="D15" t="s">
        <v>47</v>
      </c>
      <c r="F15">
        <v>10</v>
      </c>
      <c r="G15" s="4" t="s">
        <v>90</v>
      </c>
      <c r="H15" s="3">
        <f>Pisteytys!D6</f>
        <v>-0.75</v>
      </c>
    </row>
    <row r="16" spans="1:8" x14ac:dyDescent="0.25">
      <c r="A16" s="2"/>
      <c r="B16" s="4"/>
      <c r="C16">
        <v>0</v>
      </c>
      <c r="D16" t="s">
        <v>5</v>
      </c>
      <c r="F16">
        <v>7</v>
      </c>
      <c r="H16" s="3">
        <f>Pisteytys!D7</f>
        <v>-1.75</v>
      </c>
    </row>
    <row r="17" spans="1:8" x14ac:dyDescent="0.25">
      <c r="B17" s="4"/>
    </row>
    <row r="18" spans="1:8" x14ac:dyDescent="0.25">
      <c r="A18" s="2">
        <v>0.54513888888888895</v>
      </c>
      <c r="B18" s="4" t="s">
        <v>67</v>
      </c>
      <c r="C18">
        <v>1</v>
      </c>
      <c r="D18" t="s">
        <v>13</v>
      </c>
      <c r="F18">
        <v>83</v>
      </c>
      <c r="H18" s="3">
        <f>Pisteytys!E4</f>
        <v>2.8</v>
      </c>
    </row>
    <row r="19" spans="1:8" x14ac:dyDescent="0.25">
      <c r="B19" s="4"/>
      <c r="C19">
        <v>2</v>
      </c>
      <c r="D19" t="s">
        <v>4</v>
      </c>
      <c r="F19">
        <v>75</v>
      </c>
      <c r="H19" s="3">
        <f>Pisteytys!E5</f>
        <v>0.79999999999999982</v>
      </c>
    </row>
    <row r="20" spans="1:8" x14ac:dyDescent="0.25">
      <c r="C20">
        <v>3</v>
      </c>
      <c r="D20" t="s">
        <v>16</v>
      </c>
      <c r="F20">
        <v>67</v>
      </c>
      <c r="H20" s="3">
        <f>Pisteytys!E6</f>
        <v>-0.20000000000000018</v>
      </c>
    </row>
    <row r="21" spans="1:8" x14ac:dyDescent="0.25">
      <c r="A21" s="2"/>
      <c r="C21">
        <v>4</v>
      </c>
      <c r="D21" t="s">
        <v>15</v>
      </c>
      <c r="F21">
        <v>53</v>
      </c>
      <c r="H21" s="3">
        <f>Pisteytys!E7</f>
        <v>-1.2000000000000002</v>
      </c>
    </row>
    <row r="22" spans="1:8" x14ac:dyDescent="0.25">
      <c r="C22">
        <v>0</v>
      </c>
      <c r="D22" t="s">
        <v>17</v>
      </c>
      <c r="F22">
        <v>42</v>
      </c>
      <c r="H22" s="3">
        <f>Pisteytys!E8</f>
        <v>-2.2000000000000002</v>
      </c>
    </row>
    <row r="24" spans="1:8" x14ac:dyDescent="0.25">
      <c r="A24" s="2">
        <v>0.60069444444444442</v>
      </c>
      <c r="B24" t="s">
        <v>30</v>
      </c>
      <c r="C24">
        <v>1</v>
      </c>
      <c r="D24" t="s">
        <v>5</v>
      </c>
      <c r="F24">
        <v>27</v>
      </c>
      <c r="H24" s="3">
        <f>Pisteytys!E4</f>
        <v>2.8</v>
      </c>
    </row>
    <row r="25" spans="1:8" x14ac:dyDescent="0.25">
      <c r="C25">
        <v>2</v>
      </c>
      <c r="D25" t="s">
        <v>47</v>
      </c>
      <c r="F25">
        <v>26</v>
      </c>
      <c r="H25" s="3">
        <f>Pisteytys!E5</f>
        <v>0.79999999999999982</v>
      </c>
    </row>
    <row r="26" spans="1:8" x14ac:dyDescent="0.25">
      <c r="C26">
        <v>3</v>
      </c>
      <c r="D26" t="s">
        <v>13</v>
      </c>
      <c r="F26">
        <v>19</v>
      </c>
      <c r="G26" s="4" t="s">
        <v>89</v>
      </c>
      <c r="H26" s="3">
        <f>Pisteytys!E6</f>
        <v>-0.20000000000000018</v>
      </c>
    </row>
    <row r="27" spans="1:8" x14ac:dyDescent="0.25">
      <c r="C27">
        <v>4</v>
      </c>
      <c r="D27" t="s">
        <v>15</v>
      </c>
      <c r="F27">
        <v>19</v>
      </c>
      <c r="G27" s="4" t="s">
        <v>90</v>
      </c>
      <c r="H27" s="3">
        <f>Pisteytys!E7</f>
        <v>-1.2000000000000002</v>
      </c>
    </row>
    <row r="28" spans="1:8" x14ac:dyDescent="0.25">
      <c r="C28">
        <v>5</v>
      </c>
      <c r="D28" t="s">
        <v>19</v>
      </c>
      <c r="F28">
        <v>13</v>
      </c>
      <c r="H28" s="3">
        <f>Pisteytys!E8</f>
        <v>-2.2000000000000002</v>
      </c>
    </row>
    <row r="29" spans="1:8" x14ac:dyDescent="0.25">
      <c r="A29" s="2"/>
    </row>
    <row r="30" spans="1:8" x14ac:dyDescent="0.25">
      <c r="A30" s="2">
        <v>0.60763888888888895</v>
      </c>
      <c r="B30" s="4" t="s">
        <v>68</v>
      </c>
      <c r="C30">
        <v>1</v>
      </c>
      <c r="D30" t="s">
        <v>4</v>
      </c>
      <c r="F30">
        <v>3</v>
      </c>
      <c r="G30" t="s">
        <v>72</v>
      </c>
      <c r="H30" s="3">
        <f>Pisteytys!D4</f>
        <v>2.25</v>
      </c>
    </row>
    <row r="31" spans="1:8" x14ac:dyDescent="0.25">
      <c r="B31" s="4"/>
      <c r="C31">
        <v>2</v>
      </c>
      <c r="D31" t="s">
        <v>63</v>
      </c>
      <c r="F31">
        <v>2</v>
      </c>
      <c r="G31" t="s">
        <v>73</v>
      </c>
      <c r="H31" s="3">
        <f>(Pisteytys!D5+Pisteytys!D6)/2</f>
        <v>-0.25</v>
      </c>
    </row>
    <row r="32" spans="1:8" x14ac:dyDescent="0.25">
      <c r="C32">
        <v>2</v>
      </c>
      <c r="D32" t="s">
        <v>17</v>
      </c>
      <c r="F32">
        <v>2</v>
      </c>
      <c r="G32" t="s">
        <v>73</v>
      </c>
      <c r="H32" s="3">
        <f>(Pisteytys!D5+Pisteytys!D6)/2</f>
        <v>-0.25</v>
      </c>
    </row>
    <row r="33" spans="1:8" x14ac:dyDescent="0.25">
      <c r="A33" s="2"/>
      <c r="C33">
        <v>0</v>
      </c>
      <c r="D33" t="s">
        <v>16</v>
      </c>
      <c r="F33">
        <v>2</v>
      </c>
      <c r="G33" t="s">
        <v>69</v>
      </c>
      <c r="H33" s="3">
        <f>Pisteytys!D7</f>
        <v>-1.75</v>
      </c>
    </row>
    <row r="34" spans="1:8" x14ac:dyDescent="0.25">
      <c r="A34" s="2"/>
    </row>
    <row r="35" spans="1:8" x14ac:dyDescent="0.25">
      <c r="A35" s="2">
        <v>0.64583333333333337</v>
      </c>
      <c r="B35" s="4" t="s">
        <v>66</v>
      </c>
      <c r="C35">
        <v>1</v>
      </c>
      <c r="D35" t="s">
        <v>62</v>
      </c>
      <c r="F35">
        <v>51</v>
      </c>
      <c r="H35" s="3">
        <f>Pisteytys!F4</f>
        <v>3.3333333333333335</v>
      </c>
    </row>
    <row r="36" spans="1:8" x14ac:dyDescent="0.25">
      <c r="B36" s="4"/>
      <c r="C36">
        <v>2</v>
      </c>
      <c r="D36" t="s">
        <v>49</v>
      </c>
      <c r="F36">
        <v>48</v>
      </c>
      <c r="H36" s="3">
        <f>Pisteytys!F5</f>
        <v>1.3333333333333335</v>
      </c>
    </row>
    <row r="37" spans="1:8" x14ac:dyDescent="0.25">
      <c r="B37" s="4"/>
      <c r="C37">
        <v>3</v>
      </c>
      <c r="D37" t="s">
        <v>63</v>
      </c>
      <c r="F37">
        <v>47</v>
      </c>
      <c r="G37" t="s">
        <v>70</v>
      </c>
      <c r="H37" s="3">
        <f>Pisteytys!F6</f>
        <v>0.33333333333333348</v>
      </c>
    </row>
    <row r="38" spans="1:8" x14ac:dyDescent="0.25">
      <c r="A38" s="2"/>
      <c r="C38">
        <v>4</v>
      </c>
      <c r="D38" t="s">
        <v>48</v>
      </c>
      <c r="F38">
        <v>47</v>
      </c>
      <c r="G38" t="s">
        <v>71</v>
      </c>
      <c r="H38" s="3">
        <f>Pisteytys!F7</f>
        <v>-0.66666666666666652</v>
      </c>
    </row>
    <row r="39" spans="1:8" x14ac:dyDescent="0.25">
      <c r="A39" s="2"/>
      <c r="C39">
        <v>5</v>
      </c>
      <c r="D39" t="s">
        <v>17</v>
      </c>
      <c r="F39">
        <v>39</v>
      </c>
      <c r="H39" s="3">
        <f>Pisteytys!F8</f>
        <v>-1.6666666666666665</v>
      </c>
    </row>
    <row r="40" spans="1:8" x14ac:dyDescent="0.25">
      <c r="C40">
        <v>0</v>
      </c>
      <c r="D40" t="s">
        <v>16</v>
      </c>
      <c r="F40">
        <v>34</v>
      </c>
      <c r="H40" s="3">
        <f>Pisteytys!F9</f>
        <v>-2.6666666666666665</v>
      </c>
    </row>
    <row r="42" spans="1:8" x14ac:dyDescent="0.25">
      <c r="A42" s="2">
        <v>0.67361111111111116</v>
      </c>
      <c r="B42" t="s">
        <v>66</v>
      </c>
      <c r="C42">
        <v>1</v>
      </c>
      <c r="D42" t="s">
        <v>63</v>
      </c>
      <c r="F42">
        <v>62</v>
      </c>
      <c r="H42" s="3">
        <f>Pisteytys!E4</f>
        <v>2.8</v>
      </c>
    </row>
    <row r="43" spans="1:8" x14ac:dyDescent="0.25">
      <c r="A43" s="2"/>
      <c r="C43">
        <v>2</v>
      </c>
      <c r="D43" t="s">
        <v>16</v>
      </c>
      <c r="F43">
        <v>52</v>
      </c>
      <c r="H43" s="3">
        <f>Pisteytys!E5</f>
        <v>0.79999999999999982</v>
      </c>
    </row>
    <row r="44" spans="1:8" x14ac:dyDescent="0.25">
      <c r="C44">
        <v>3</v>
      </c>
      <c r="D44" t="s">
        <v>62</v>
      </c>
      <c r="F44">
        <v>46</v>
      </c>
      <c r="H44" s="3">
        <f>Pisteytys!E6</f>
        <v>-0.20000000000000018</v>
      </c>
    </row>
    <row r="45" spans="1:8" x14ac:dyDescent="0.25">
      <c r="C45">
        <v>4</v>
      </c>
      <c r="D45" t="s">
        <v>17</v>
      </c>
      <c r="F45">
        <v>45</v>
      </c>
      <c r="H45" s="3">
        <f>Pisteytys!E7</f>
        <v>-1.2000000000000002</v>
      </c>
    </row>
    <row r="46" spans="1:8" x14ac:dyDescent="0.25">
      <c r="A46" s="2"/>
      <c r="C46">
        <v>0</v>
      </c>
      <c r="D46" t="s">
        <v>4</v>
      </c>
      <c r="F46">
        <v>42</v>
      </c>
      <c r="H46" s="3">
        <f>Pisteytys!E8</f>
        <v>-2.2000000000000002</v>
      </c>
    </row>
    <row r="47" spans="1:8" x14ac:dyDescent="0.25">
      <c r="A47" s="2"/>
    </row>
    <row r="48" spans="1:8" x14ac:dyDescent="0.25">
      <c r="A48" s="2">
        <v>0.69444444444444453</v>
      </c>
      <c r="B48" t="s">
        <v>76</v>
      </c>
      <c r="C48">
        <v>1</v>
      </c>
      <c r="D48" t="s">
        <v>5</v>
      </c>
      <c r="F48">
        <v>17</v>
      </c>
      <c r="H48" s="3">
        <f>Pisteytys!D4</f>
        <v>2.25</v>
      </c>
    </row>
    <row r="49" spans="1:8" x14ac:dyDescent="0.25">
      <c r="A49" s="2"/>
      <c r="C49">
        <v>2</v>
      </c>
      <c r="D49" t="s">
        <v>15</v>
      </c>
      <c r="F49">
        <v>13</v>
      </c>
      <c r="H49" s="3">
        <f>Pisteytys!D5</f>
        <v>0.25</v>
      </c>
    </row>
    <row r="50" spans="1:8" x14ac:dyDescent="0.25">
      <c r="A50" s="2"/>
      <c r="C50">
        <v>3</v>
      </c>
      <c r="D50" t="s">
        <v>19</v>
      </c>
      <c r="F50">
        <v>11</v>
      </c>
      <c r="H50" s="3">
        <f>Pisteytys!D6</f>
        <v>-0.75</v>
      </c>
    </row>
    <row r="51" spans="1:8" x14ac:dyDescent="0.25">
      <c r="A51" s="2"/>
      <c r="C51">
        <v>0</v>
      </c>
      <c r="D51" t="s">
        <v>13</v>
      </c>
      <c r="F51">
        <v>8</v>
      </c>
      <c r="H51" s="3">
        <f>Pisteytys!D7</f>
        <v>-1.75</v>
      </c>
    </row>
    <row r="53" spans="1:8" x14ac:dyDescent="0.25">
      <c r="A53" s="2">
        <v>0.69791666666666663</v>
      </c>
      <c r="B53" t="s">
        <v>7</v>
      </c>
      <c r="C53">
        <v>1</v>
      </c>
      <c r="D53" t="s">
        <v>17</v>
      </c>
      <c r="E53" t="s">
        <v>74</v>
      </c>
      <c r="F53">
        <v>62</v>
      </c>
      <c r="H53" s="3">
        <f>Pisteytys!E4</f>
        <v>2.8</v>
      </c>
    </row>
    <row r="54" spans="1:8" x14ac:dyDescent="0.25">
      <c r="C54">
        <v>2</v>
      </c>
      <c r="D54" t="s">
        <v>4</v>
      </c>
      <c r="E54" t="s">
        <v>75</v>
      </c>
      <c r="F54">
        <v>60</v>
      </c>
      <c r="H54" s="3">
        <f>Pisteytys!E5</f>
        <v>0.79999999999999982</v>
      </c>
    </row>
    <row r="55" spans="1:8" x14ac:dyDescent="0.25">
      <c r="C55">
        <v>3</v>
      </c>
      <c r="D55" t="s">
        <v>63</v>
      </c>
      <c r="E55" t="s">
        <v>56</v>
      </c>
      <c r="F55">
        <v>51</v>
      </c>
      <c r="H55" s="3">
        <f>Pisteytys!E6</f>
        <v>-0.20000000000000018</v>
      </c>
    </row>
    <row r="56" spans="1:8" x14ac:dyDescent="0.25">
      <c r="A56" s="2"/>
      <c r="C56">
        <v>4</v>
      </c>
      <c r="D56" t="s">
        <v>48</v>
      </c>
      <c r="E56" t="s">
        <v>50</v>
      </c>
      <c r="F56">
        <v>49</v>
      </c>
      <c r="H56" s="3">
        <f>Pisteytys!E7</f>
        <v>-1.2000000000000002</v>
      </c>
    </row>
    <row r="57" spans="1:8" x14ac:dyDescent="0.25">
      <c r="C57">
        <v>0</v>
      </c>
      <c r="D57" t="s">
        <v>16</v>
      </c>
      <c r="E57" t="s">
        <v>51</v>
      </c>
      <c r="F57">
        <v>44</v>
      </c>
      <c r="H57" s="3">
        <f>Pisteytys!E8</f>
        <v>-2.2000000000000002</v>
      </c>
    </row>
    <row r="59" spans="1:8" x14ac:dyDescent="0.25">
      <c r="A59" s="2">
        <v>0.69791666666666663</v>
      </c>
      <c r="B59" t="s">
        <v>14</v>
      </c>
      <c r="C59">
        <v>1</v>
      </c>
      <c r="D59" t="s">
        <v>49</v>
      </c>
      <c r="F59">
        <v>29</v>
      </c>
      <c r="H59" s="3">
        <f>Pisteytys!C4</f>
        <v>1.6666666666666667</v>
      </c>
    </row>
    <row r="60" spans="1:8" x14ac:dyDescent="0.25">
      <c r="C60">
        <v>2</v>
      </c>
      <c r="D60" t="s">
        <v>47</v>
      </c>
      <c r="F60">
        <v>28</v>
      </c>
      <c r="H60" s="3">
        <f>Pisteytys!C5</f>
        <v>-0.33333333333333326</v>
      </c>
    </row>
    <row r="61" spans="1:8" x14ac:dyDescent="0.25">
      <c r="A61" s="2"/>
      <c r="C61">
        <v>0</v>
      </c>
      <c r="D61" t="s">
        <v>62</v>
      </c>
      <c r="F61">
        <v>27</v>
      </c>
      <c r="H61" s="3">
        <f>Pisteytys!C6</f>
        <v>-1.3333333333333333</v>
      </c>
    </row>
    <row r="63" spans="1:8" x14ac:dyDescent="0.25">
      <c r="A63" s="2">
        <v>0.73958333333333337</v>
      </c>
      <c r="B63" t="s">
        <v>77</v>
      </c>
      <c r="C63">
        <v>1</v>
      </c>
      <c r="D63" t="s">
        <v>5</v>
      </c>
      <c r="F63">
        <v>12</v>
      </c>
      <c r="H63" s="3">
        <f>Pisteytys!C4</f>
        <v>1.6666666666666667</v>
      </c>
    </row>
    <row r="64" spans="1:8" x14ac:dyDescent="0.25">
      <c r="C64">
        <v>2</v>
      </c>
      <c r="D64" t="s">
        <v>15</v>
      </c>
      <c r="F64">
        <v>10</v>
      </c>
      <c r="G64" t="s">
        <v>78</v>
      </c>
      <c r="H64" s="3">
        <f>Pisteytys!C5</f>
        <v>-0.33333333333333326</v>
      </c>
    </row>
    <row r="65" spans="1:8" x14ac:dyDescent="0.25">
      <c r="C65">
        <v>3</v>
      </c>
      <c r="D65" t="s">
        <v>19</v>
      </c>
      <c r="F65">
        <v>10</v>
      </c>
      <c r="G65" t="s">
        <v>79</v>
      </c>
      <c r="H65" s="3">
        <f>Pisteytys!C6</f>
        <v>-1.3333333333333333</v>
      </c>
    </row>
    <row r="67" spans="1:8" x14ac:dyDescent="0.25">
      <c r="A67" s="2">
        <v>0.75</v>
      </c>
      <c r="B67" t="s">
        <v>22</v>
      </c>
      <c r="C67">
        <v>1</v>
      </c>
      <c r="D67" t="s">
        <v>48</v>
      </c>
      <c r="F67">
        <v>3</v>
      </c>
      <c r="H67" s="3">
        <f>Pisteytys!D4</f>
        <v>2.25</v>
      </c>
    </row>
    <row r="68" spans="1:8" x14ac:dyDescent="0.25">
      <c r="C68">
        <v>0</v>
      </c>
      <c r="D68" t="s">
        <v>4</v>
      </c>
      <c r="F68">
        <v>2</v>
      </c>
      <c r="H68" s="3">
        <f>(Pisteytys!D5+Pisteytys!D6+Pisteytys!D7)/3</f>
        <v>-0.75</v>
      </c>
    </row>
    <row r="69" spans="1:8" x14ac:dyDescent="0.25">
      <c r="C69">
        <v>0</v>
      </c>
      <c r="D69" t="s">
        <v>16</v>
      </c>
      <c r="F69">
        <v>2</v>
      </c>
      <c r="H69" s="3">
        <f>(Pisteytys!D5+Pisteytys!D6+Pisteytys!D7)/3</f>
        <v>-0.75</v>
      </c>
    </row>
    <row r="70" spans="1:8" x14ac:dyDescent="0.25">
      <c r="C70">
        <v>0</v>
      </c>
      <c r="D70" t="s">
        <v>17</v>
      </c>
      <c r="F70">
        <v>2</v>
      </c>
      <c r="H70" s="3">
        <f>(Pisteytys!D5+Pisteytys!D6+Pisteytys!D7)/3</f>
        <v>-0.75</v>
      </c>
    </row>
    <row r="72" spans="1:8" x14ac:dyDescent="0.25">
      <c r="A72" s="2">
        <v>0.79166666666666663</v>
      </c>
      <c r="B72" t="s">
        <v>76</v>
      </c>
      <c r="C72">
        <v>1</v>
      </c>
      <c r="D72" t="s">
        <v>15</v>
      </c>
      <c r="F72">
        <v>16</v>
      </c>
      <c r="H72" s="3">
        <f>Pisteytys!D4</f>
        <v>2.25</v>
      </c>
    </row>
    <row r="73" spans="1:8" x14ac:dyDescent="0.25">
      <c r="C73">
        <v>2</v>
      </c>
      <c r="D73" t="s">
        <v>5</v>
      </c>
      <c r="F73">
        <v>12</v>
      </c>
      <c r="H73" s="3">
        <f>(Pisteytys!D5+Pisteytys!D6)/2</f>
        <v>-0.25</v>
      </c>
    </row>
    <row r="74" spans="1:8" x14ac:dyDescent="0.25">
      <c r="C74">
        <v>2</v>
      </c>
      <c r="D74" t="s">
        <v>63</v>
      </c>
      <c r="F74">
        <v>12</v>
      </c>
      <c r="H74" s="3">
        <f>(Pisteytys!D5+Pisteytys!D6)/2</f>
        <v>-0.25</v>
      </c>
    </row>
    <row r="75" spans="1:8" x14ac:dyDescent="0.25">
      <c r="C75">
        <v>0</v>
      </c>
      <c r="D75" t="s">
        <v>19</v>
      </c>
      <c r="F75">
        <v>10</v>
      </c>
      <c r="H75" s="3">
        <f>Pisteytys!D7</f>
        <v>-1.75</v>
      </c>
    </row>
    <row r="77" spans="1:8" x14ac:dyDescent="0.25">
      <c r="A77" s="2">
        <v>0.82291666666666663</v>
      </c>
      <c r="B77" t="s">
        <v>76</v>
      </c>
      <c r="C77">
        <v>1</v>
      </c>
      <c r="D77" t="s">
        <v>49</v>
      </c>
      <c r="F77">
        <v>17</v>
      </c>
      <c r="H77" s="3">
        <f>(Pisteytys!D4+Pisteytys!D5)/2</f>
        <v>1.25</v>
      </c>
    </row>
    <row r="78" spans="1:8" x14ac:dyDescent="0.25">
      <c r="C78">
        <v>1</v>
      </c>
      <c r="D78" t="s">
        <v>47</v>
      </c>
      <c r="F78">
        <v>17</v>
      </c>
      <c r="H78" s="3">
        <f>(Pisteytys!D4+Pisteytys!D5)/2</f>
        <v>1.25</v>
      </c>
    </row>
    <row r="79" spans="1:8" x14ac:dyDescent="0.25">
      <c r="C79">
        <v>3</v>
      </c>
      <c r="D79" t="s">
        <v>62</v>
      </c>
      <c r="F79">
        <v>11</v>
      </c>
      <c r="H79" s="3">
        <f>Pisteytys!D6</f>
        <v>-0.75</v>
      </c>
    </row>
    <row r="80" spans="1:8" x14ac:dyDescent="0.25">
      <c r="C80">
        <v>0</v>
      </c>
      <c r="D80" t="s">
        <v>5</v>
      </c>
      <c r="F80">
        <v>10</v>
      </c>
      <c r="H80" s="3">
        <f>Pisteytys!D7</f>
        <v>-1.75</v>
      </c>
    </row>
    <row r="82" spans="1:8" x14ac:dyDescent="0.25">
      <c r="A82" s="2">
        <v>0.82291666666666663</v>
      </c>
      <c r="B82" t="s">
        <v>23</v>
      </c>
      <c r="C82">
        <v>1</v>
      </c>
      <c r="D82" t="s">
        <v>16</v>
      </c>
      <c r="F82">
        <v>53</v>
      </c>
      <c r="H82" s="3">
        <f>Pisteytys!C4</f>
        <v>1.6666666666666667</v>
      </c>
    </row>
    <row r="83" spans="1:8" x14ac:dyDescent="0.25">
      <c r="C83">
        <v>2</v>
      </c>
      <c r="D83" t="s">
        <v>17</v>
      </c>
      <c r="F83">
        <v>47</v>
      </c>
      <c r="H83" s="3">
        <f>Pisteytys!C5</f>
        <v>-0.33333333333333326</v>
      </c>
    </row>
    <row r="84" spans="1:8" x14ac:dyDescent="0.25">
      <c r="C84">
        <v>0</v>
      </c>
      <c r="D84" t="s">
        <v>48</v>
      </c>
      <c r="F84">
        <v>34</v>
      </c>
      <c r="H84" s="3">
        <f>Pisteytys!C6</f>
        <v>-1.3333333333333333</v>
      </c>
    </row>
    <row r="86" spans="1:8" x14ac:dyDescent="0.25">
      <c r="A86" s="2">
        <v>0.82638888888888884</v>
      </c>
      <c r="B86" t="s">
        <v>24</v>
      </c>
      <c r="C86">
        <v>1</v>
      </c>
      <c r="D86" t="s">
        <v>15</v>
      </c>
      <c r="F86">
        <v>76</v>
      </c>
      <c r="H86" s="3">
        <f>Pisteytys!C4</f>
        <v>1.6666666666666667</v>
      </c>
    </row>
    <row r="87" spans="1:8" x14ac:dyDescent="0.25">
      <c r="C87">
        <v>2</v>
      </c>
      <c r="D87" t="s">
        <v>4</v>
      </c>
      <c r="F87">
        <v>73</v>
      </c>
      <c r="H87" s="3">
        <f>Pisteytys!C5</f>
        <v>-0.33333333333333326</v>
      </c>
    </row>
    <row r="88" spans="1:8" x14ac:dyDescent="0.25">
      <c r="C88">
        <v>0</v>
      </c>
      <c r="D88" t="s">
        <v>63</v>
      </c>
      <c r="F88">
        <v>49</v>
      </c>
      <c r="H88" s="3">
        <f>Pisteytys!C6</f>
        <v>-1.3333333333333333</v>
      </c>
    </row>
    <row r="90" spans="1:8" x14ac:dyDescent="0.25">
      <c r="A90" s="2">
        <v>0.85416666666666663</v>
      </c>
      <c r="B90" t="s">
        <v>23</v>
      </c>
      <c r="C90">
        <v>1</v>
      </c>
      <c r="D90" t="s">
        <v>80</v>
      </c>
      <c r="F90">
        <v>67</v>
      </c>
      <c r="H90" s="3">
        <f>Pisteytys!C4</f>
        <v>1.6666666666666667</v>
      </c>
    </row>
    <row r="91" spans="1:8" x14ac:dyDescent="0.25">
      <c r="C91">
        <v>2</v>
      </c>
      <c r="D91" t="s">
        <v>17</v>
      </c>
      <c r="F91">
        <v>57</v>
      </c>
      <c r="H91" s="3">
        <f>Pisteytys!C5</f>
        <v>-0.33333333333333326</v>
      </c>
    </row>
    <row r="92" spans="1:8" x14ac:dyDescent="0.25">
      <c r="A92" s="2"/>
      <c r="C92">
        <v>0</v>
      </c>
      <c r="D92" t="s">
        <v>48</v>
      </c>
      <c r="F92">
        <v>52</v>
      </c>
      <c r="H92" s="3">
        <f>Pisteytys!C6</f>
        <v>-1.3333333333333333</v>
      </c>
    </row>
    <row r="93" spans="1:8" x14ac:dyDescent="0.25">
      <c r="A93" s="2"/>
    </row>
    <row r="94" spans="1:8" x14ac:dyDescent="0.25">
      <c r="A94" s="2">
        <v>0.90277777777777779</v>
      </c>
      <c r="B94" t="s">
        <v>87</v>
      </c>
      <c r="C94">
        <v>1</v>
      </c>
      <c r="D94" t="s">
        <v>5</v>
      </c>
      <c r="F94">
        <v>34</v>
      </c>
      <c r="H94" s="3">
        <f>Pisteytys!D4</f>
        <v>2.25</v>
      </c>
    </row>
    <row r="95" spans="1:8" x14ac:dyDescent="0.25">
      <c r="A95" s="2"/>
      <c r="C95">
        <v>2</v>
      </c>
      <c r="D95" t="s">
        <v>15</v>
      </c>
      <c r="F95">
        <v>24</v>
      </c>
      <c r="H95" s="3">
        <f>Pisteytys!D5</f>
        <v>0.25</v>
      </c>
    </row>
    <row r="96" spans="1:8" x14ac:dyDescent="0.25">
      <c r="A96" s="2"/>
      <c r="C96">
        <v>3</v>
      </c>
      <c r="D96" t="s">
        <v>63</v>
      </c>
      <c r="F96">
        <v>23</v>
      </c>
      <c r="H96" s="3">
        <f>Pisteytys!D6</f>
        <v>-0.75</v>
      </c>
    </row>
    <row r="97" spans="1:8" x14ac:dyDescent="0.25">
      <c r="A97" s="2"/>
      <c r="C97">
        <v>0</v>
      </c>
      <c r="D97" t="s">
        <v>47</v>
      </c>
      <c r="F97">
        <v>20</v>
      </c>
      <c r="H97" s="3">
        <f>Pisteytys!D7</f>
        <v>-1.75</v>
      </c>
    </row>
    <row r="99" spans="1:8" x14ac:dyDescent="0.25">
      <c r="A99" s="2">
        <v>0.90625</v>
      </c>
      <c r="B99" t="s">
        <v>21</v>
      </c>
      <c r="C99">
        <v>1</v>
      </c>
      <c r="D99" t="s">
        <v>17</v>
      </c>
      <c r="F99">
        <v>32</v>
      </c>
      <c r="H99" s="3">
        <f>Pisteytys!E4</f>
        <v>2.8</v>
      </c>
    </row>
    <row r="100" spans="1:8" x14ac:dyDescent="0.25">
      <c r="C100">
        <v>2</v>
      </c>
      <c r="D100" t="s">
        <v>16</v>
      </c>
      <c r="F100">
        <v>33</v>
      </c>
      <c r="H100" s="3">
        <f>Pisteytys!E5</f>
        <v>0.79999999999999982</v>
      </c>
    </row>
    <row r="101" spans="1:8" x14ac:dyDescent="0.25">
      <c r="C101">
        <v>3</v>
      </c>
      <c r="D101" t="s">
        <v>62</v>
      </c>
      <c r="F101">
        <v>51</v>
      </c>
      <c r="H101" s="3">
        <f>Pisteytys!E6</f>
        <v>-0.20000000000000018</v>
      </c>
    </row>
    <row r="102" spans="1:8" x14ac:dyDescent="0.25">
      <c r="A102" s="2"/>
      <c r="C102">
        <v>4</v>
      </c>
      <c r="D102" t="s">
        <v>4</v>
      </c>
      <c r="F102">
        <v>66</v>
      </c>
      <c r="H102" s="3">
        <f>Pisteytys!E7</f>
        <v>-1.2000000000000002</v>
      </c>
    </row>
    <row r="103" spans="1:8" x14ac:dyDescent="0.25">
      <c r="C103">
        <v>0</v>
      </c>
      <c r="D103" t="s">
        <v>48</v>
      </c>
      <c r="F103">
        <v>95</v>
      </c>
      <c r="H103" s="3">
        <f>Pisteytys!E8</f>
        <v>-2.2000000000000002</v>
      </c>
    </row>
    <row r="105" spans="1:8" x14ac:dyDescent="0.25">
      <c r="A105" s="2">
        <v>2.0833333333333332E-2</v>
      </c>
      <c r="B105" t="s">
        <v>7</v>
      </c>
      <c r="C105">
        <v>1</v>
      </c>
      <c r="D105" t="s">
        <v>4</v>
      </c>
      <c r="E105" t="s">
        <v>81</v>
      </c>
      <c r="F105">
        <v>78</v>
      </c>
      <c r="H105" s="3">
        <f>Pisteytys!F4</f>
        <v>3.3333333333333335</v>
      </c>
    </row>
    <row r="106" spans="1:8" x14ac:dyDescent="0.25">
      <c r="B106" s="4" t="s">
        <v>11</v>
      </c>
      <c r="C106">
        <v>2</v>
      </c>
      <c r="D106" t="s">
        <v>47</v>
      </c>
      <c r="E106" t="s">
        <v>82</v>
      </c>
      <c r="F106">
        <v>71</v>
      </c>
      <c r="H106" s="3">
        <f>Pisteytys!F5</f>
        <v>1.3333333333333335</v>
      </c>
    </row>
    <row r="107" spans="1:8" x14ac:dyDescent="0.25">
      <c r="B107" s="4" t="s">
        <v>12</v>
      </c>
      <c r="C107">
        <v>3</v>
      </c>
      <c r="D107" t="s">
        <v>15</v>
      </c>
      <c r="E107" t="s">
        <v>53</v>
      </c>
      <c r="F107">
        <v>68</v>
      </c>
      <c r="H107" s="3">
        <f>Pisteytys!F6</f>
        <v>0.33333333333333348</v>
      </c>
    </row>
    <row r="108" spans="1:8" x14ac:dyDescent="0.25">
      <c r="A108" s="2"/>
      <c r="C108">
        <v>4</v>
      </c>
      <c r="D108" t="s">
        <v>5</v>
      </c>
      <c r="E108" t="s">
        <v>83</v>
      </c>
      <c r="F108">
        <v>66</v>
      </c>
      <c r="H108" s="3">
        <f>Pisteytys!F7</f>
        <v>-0.66666666666666652</v>
      </c>
    </row>
    <row r="109" spans="1:8" x14ac:dyDescent="0.25">
      <c r="C109">
        <v>5</v>
      </c>
      <c r="D109" t="s">
        <v>62</v>
      </c>
      <c r="E109" t="s">
        <v>56</v>
      </c>
      <c r="F109">
        <v>63</v>
      </c>
      <c r="H109" s="3">
        <f>Pisteytys!F8</f>
        <v>-1.6666666666666665</v>
      </c>
    </row>
    <row r="110" spans="1:8" x14ac:dyDescent="0.25">
      <c r="C110">
        <v>0</v>
      </c>
      <c r="D110" t="s">
        <v>63</v>
      </c>
      <c r="E110" t="s">
        <v>51</v>
      </c>
      <c r="F110">
        <v>62</v>
      </c>
      <c r="H110" s="3">
        <f>Pisteytys!F9</f>
        <v>-2.6666666666666665</v>
      </c>
    </row>
    <row r="112" spans="1:8" x14ac:dyDescent="0.25">
      <c r="A112" s="2">
        <v>0.10416666666666667</v>
      </c>
      <c r="B112" t="s">
        <v>7</v>
      </c>
      <c r="C112">
        <v>1</v>
      </c>
      <c r="D112" t="s">
        <v>4</v>
      </c>
      <c r="E112" t="s">
        <v>54</v>
      </c>
      <c r="F112">
        <v>72</v>
      </c>
      <c r="H112" s="3">
        <f>Pisteytys!F4</f>
        <v>3.3333333333333335</v>
      </c>
    </row>
    <row r="113" spans="1:8" x14ac:dyDescent="0.25">
      <c r="B113" s="4" t="s">
        <v>11</v>
      </c>
      <c r="C113">
        <v>2</v>
      </c>
      <c r="D113" t="s">
        <v>5</v>
      </c>
      <c r="E113" t="s">
        <v>52</v>
      </c>
      <c r="F113">
        <v>64</v>
      </c>
      <c r="H113" s="3">
        <f>Pisteytys!F5</f>
        <v>1.3333333333333335</v>
      </c>
    </row>
    <row r="114" spans="1:8" x14ac:dyDescent="0.25">
      <c r="B114" s="4" t="s">
        <v>12</v>
      </c>
      <c r="C114">
        <v>3</v>
      </c>
      <c r="D114" t="s">
        <v>62</v>
      </c>
      <c r="E114" t="s">
        <v>60</v>
      </c>
      <c r="F114">
        <v>63</v>
      </c>
      <c r="H114" s="3">
        <f>Pisteytys!F6</f>
        <v>0.33333333333333348</v>
      </c>
    </row>
    <row r="115" spans="1:8" x14ac:dyDescent="0.25">
      <c r="A115" s="2"/>
      <c r="C115">
        <v>4</v>
      </c>
      <c r="D115" t="s">
        <v>47</v>
      </c>
      <c r="E115" t="s">
        <v>84</v>
      </c>
      <c r="F115">
        <v>61</v>
      </c>
      <c r="H115" s="3">
        <f>Pisteytys!F7</f>
        <v>-0.66666666666666652</v>
      </c>
    </row>
    <row r="116" spans="1:8" x14ac:dyDescent="0.25">
      <c r="C116">
        <v>5</v>
      </c>
      <c r="D116" t="s">
        <v>15</v>
      </c>
      <c r="E116" t="s">
        <v>58</v>
      </c>
      <c r="F116">
        <v>56</v>
      </c>
      <c r="G116" t="s">
        <v>85</v>
      </c>
      <c r="H116" s="3">
        <f>Pisteytys!F8</f>
        <v>-1.6666666666666665</v>
      </c>
    </row>
    <row r="117" spans="1:8" x14ac:dyDescent="0.25">
      <c r="C117">
        <v>0</v>
      </c>
      <c r="D117" t="s">
        <v>63</v>
      </c>
      <c r="E117" t="s">
        <v>50</v>
      </c>
      <c r="F117">
        <v>56</v>
      </c>
      <c r="G117" t="s">
        <v>86</v>
      </c>
      <c r="H117" s="3">
        <f>Pisteytys!F9</f>
        <v>-2.6666666666666665</v>
      </c>
    </row>
    <row r="118" spans="1:8" x14ac:dyDescent="0.25">
      <c r="A118" s="2"/>
    </row>
    <row r="119" spans="1:8" x14ac:dyDescent="0.25">
      <c r="A119">
        <f>COUNTA(A2:A118)</f>
        <v>22</v>
      </c>
      <c r="B119" t="s">
        <v>44</v>
      </c>
      <c r="C119">
        <v>12</v>
      </c>
      <c r="D119" t="s">
        <v>45</v>
      </c>
      <c r="G119" t="s">
        <v>29</v>
      </c>
      <c r="H119" s="3">
        <f>SUM(H2:H118)</f>
        <v>0</v>
      </c>
    </row>
    <row r="123" spans="1:8" x14ac:dyDescent="0.25">
      <c r="A123" s="2"/>
    </row>
    <row r="124" spans="1:8" x14ac:dyDescent="0.25">
      <c r="A124" s="2"/>
      <c r="B124" s="4"/>
    </row>
    <row r="125" spans="1:8" x14ac:dyDescent="0.25">
      <c r="B125" s="4"/>
    </row>
    <row r="126" spans="1:8" x14ac:dyDescent="0.25">
      <c r="B126" s="4"/>
    </row>
    <row r="128" spans="1:8" x14ac:dyDescent="0.25">
      <c r="A128" s="2"/>
    </row>
    <row r="132" spans="1:1" x14ac:dyDescent="0.25">
      <c r="A132" s="2"/>
    </row>
    <row r="140" spans="1:1" x14ac:dyDescent="0.25">
      <c r="A140" s="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" x14ac:dyDescent="0.25"/>
  <cols>
    <col min="2" max="2" width="22.85546875" customWidth="1"/>
    <col min="5" max="5" width="18.28515625" customWidth="1"/>
    <col min="7" max="7" width="18.28515625" customWidth="1"/>
    <col min="8" max="8" width="9.140625" style="3"/>
  </cols>
  <sheetData>
    <row r="1" spans="1:8" x14ac:dyDescent="0.25">
      <c r="A1" t="s">
        <v>1</v>
      </c>
      <c r="B1" t="s">
        <v>0</v>
      </c>
      <c r="C1" t="s">
        <v>9</v>
      </c>
      <c r="D1" t="s">
        <v>32</v>
      </c>
      <c r="E1" t="s">
        <v>8</v>
      </c>
      <c r="F1" t="s">
        <v>2</v>
      </c>
      <c r="G1" t="s">
        <v>8</v>
      </c>
      <c r="H1" s="3" t="s">
        <v>3</v>
      </c>
    </row>
    <row r="3" spans="1:8" x14ac:dyDescent="0.25">
      <c r="A3" s="2">
        <v>0.3888888888888889</v>
      </c>
      <c r="B3" t="s">
        <v>88</v>
      </c>
      <c r="C3">
        <v>1</v>
      </c>
      <c r="D3" t="s">
        <v>5</v>
      </c>
      <c r="F3">
        <v>133</v>
      </c>
      <c r="H3" s="3">
        <f>Pisteytys!C4</f>
        <v>1.6666666666666667</v>
      </c>
    </row>
    <row r="4" spans="1:8" x14ac:dyDescent="0.25">
      <c r="B4" s="4"/>
      <c r="C4">
        <v>2</v>
      </c>
      <c r="D4" t="s">
        <v>15</v>
      </c>
      <c r="F4">
        <v>98</v>
      </c>
      <c r="H4" s="3">
        <f>Pisteytys!C5</f>
        <v>-0.33333333333333326</v>
      </c>
    </row>
    <row r="5" spans="1:8" x14ac:dyDescent="0.25">
      <c r="C5">
        <v>0</v>
      </c>
      <c r="D5" t="s">
        <v>4</v>
      </c>
      <c r="F5">
        <v>76</v>
      </c>
      <c r="H5" s="3">
        <f>Pisteytys!C6</f>
        <v>-1.3333333333333333</v>
      </c>
    </row>
    <row r="7" spans="1:8" x14ac:dyDescent="0.25">
      <c r="A7" s="2">
        <v>0.45833333333333331</v>
      </c>
      <c r="B7" t="s">
        <v>64</v>
      </c>
      <c r="C7">
        <v>1</v>
      </c>
      <c r="D7" t="s">
        <v>47</v>
      </c>
      <c r="F7">
        <v>29</v>
      </c>
      <c r="H7" s="3">
        <f>Pisteytys!E4</f>
        <v>2.8</v>
      </c>
    </row>
    <row r="8" spans="1:8" x14ac:dyDescent="0.25">
      <c r="A8" s="2"/>
      <c r="C8">
        <v>2</v>
      </c>
      <c r="D8" t="s">
        <v>5</v>
      </c>
      <c r="F8">
        <v>19</v>
      </c>
      <c r="G8" s="4" t="s">
        <v>89</v>
      </c>
      <c r="H8" s="3">
        <f>Pisteytys!E5</f>
        <v>0.79999999999999982</v>
      </c>
    </row>
    <row r="9" spans="1:8" x14ac:dyDescent="0.25">
      <c r="B9" s="4"/>
      <c r="C9">
        <v>3</v>
      </c>
      <c r="D9" t="s">
        <v>15</v>
      </c>
      <c r="F9">
        <v>19</v>
      </c>
      <c r="H9" s="3">
        <f>Pisteytys!E6</f>
        <v>-0.20000000000000018</v>
      </c>
    </row>
    <row r="10" spans="1:8" x14ac:dyDescent="0.25">
      <c r="A10" s="2"/>
      <c r="C10">
        <v>0</v>
      </c>
      <c r="D10" t="s">
        <v>62</v>
      </c>
      <c r="F10">
        <v>10</v>
      </c>
      <c r="H10" s="3">
        <f>(Pisteytys!E7+Pisteytys!E8)/2</f>
        <v>-1.7000000000000002</v>
      </c>
    </row>
    <row r="11" spans="1:8" x14ac:dyDescent="0.25">
      <c r="C11">
        <v>0</v>
      </c>
      <c r="D11" t="s">
        <v>4</v>
      </c>
      <c r="F11">
        <v>10</v>
      </c>
      <c r="H11" s="3">
        <f>(Pisteytys!E7+Pisteytys!E8)/2</f>
        <v>-1.7000000000000002</v>
      </c>
    </row>
    <row r="13" spans="1:8" x14ac:dyDescent="0.25">
      <c r="A13" s="2">
        <v>0.54166666666666663</v>
      </c>
      <c r="B13" t="s">
        <v>20</v>
      </c>
      <c r="C13">
        <v>1</v>
      </c>
      <c r="D13" t="s">
        <v>5</v>
      </c>
      <c r="F13">
        <v>461</v>
      </c>
      <c r="H13" s="3">
        <f>Pisteytys!D4</f>
        <v>2.25</v>
      </c>
    </row>
    <row r="14" spans="1:8" x14ac:dyDescent="0.25">
      <c r="A14" s="2"/>
      <c r="C14">
        <v>2</v>
      </c>
      <c r="D14" t="s">
        <v>4</v>
      </c>
      <c r="F14">
        <v>413</v>
      </c>
      <c r="H14" s="3">
        <f>Pisteytys!D5</f>
        <v>0.25</v>
      </c>
    </row>
    <row r="15" spans="1:8" x14ac:dyDescent="0.25">
      <c r="A15" s="2"/>
      <c r="C15">
        <v>3</v>
      </c>
      <c r="D15" t="s">
        <v>62</v>
      </c>
      <c r="F15">
        <v>407</v>
      </c>
      <c r="H15" s="3">
        <f>Pisteytys!D6</f>
        <v>-0.75</v>
      </c>
    </row>
    <row r="16" spans="1:8" x14ac:dyDescent="0.25">
      <c r="B16" s="4"/>
      <c r="C16">
        <v>0</v>
      </c>
      <c r="D16" t="s">
        <v>63</v>
      </c>
      <c r="F16">
        <v>384</v>
      </c>
      <c r="H16" s="3">
        <f>Pisteytys!D7</f>
        <v>-1.75</v>
      </c>
    </row>
    <row r="17" spans="1:8" x14ac:dyDescent="0.25">
      <c r="B17" s="4"/>
    </row>
    <row r="18" spans="1:8" x14ac:dyDescent="0.25">
      <c r="A18">
        <f>COUNTA(A2:A17)</f>
        <v>3</v>
      </c>
      <c r="B18" t="s">
        <v>44</v>
      </c>
      <c r="C18">
        <v>6</v>
      </c>
      <c r="D18" t="s">
        <v>45</v>
      </c>
      <c r="G18" t="s">
        <v>29</v>
      </c>
      <c r="H18" s="3">
        <f>SUM(H2:H17)</f>
        <v>0</v>
      </c>
    </row>
    <row r="20" spans="1:8" x14ac:dyDescent="0.25">
      <c r="A20" s="2"/>
    </row>
    <row r="21" spans="1:8" x14ac:dyDescent="0.25">
      <c r="B21" s="4"/>
    </row>
    <row r="22" spans="1:8" x14ac:dyDescent="0.25">
      <c r="B22" s="4"/>
    </row>
    <row r="23" spans="1:8" x14ac:dyDescent="0.25">
      <c r="B23" s="4"/>
    </row>
    <row r="25" spans="1:8" x14ac:dyDescent="0.25">
      <c r="A25" s="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 x14ac:dyDescent="0.25"/>
  <sheetData>
    <row r="1" spans="1:10" x14ac:dyDescent="0.25">
      <c r="B1" t="s">
        <v>10</v>
      </c>
    </row>
    <row r="2" spans="1:10" x14ac:dyDescent="0.25"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</row>
    <row r="3" spans="1:10" x14ac:dyDescent="0.25">
      <c r="A3" t="s">
        <v>9</v>
      </c>
    </row>
    <row r="4" spans="1:10" x14ac:dyDescent="0.25">
      <c r="A4">
        <v>1</v>
      </c>
      <c r="B4" s="3">
        <f>2-2/2</f>
        <v>1</v>
      </c>
      <c r="C4" s="3">
        <f>3-4/3</f>
        <v>1.6666666666666667</v>
      </c>
      <c r="D4" s="3">
        <f>4-7/4</f>
        <v>2.25</v>
      </c>
      <c r="E4" s="3">
        <f>5-11/5</f>
        <v>2.8</v>
      </c>
      <c r="F4" s="3">
        <f>6-16/6</f>
        <v>3.3333333333333335</v>
      </c>
      <c r="G4" s="3">
        <f>7-22/7</f>
        <v>3.8571428571428572</v>
      </c>
      <c r="H4">
        <f>8-29/8</f>
        <v>4.375</v>
      </c>
      <c r="I4">
        <f>9-37/9</f>
        <v>4.8888888888888893</v>
      </c>
      <c r="J4">
        <f>10-46/10</f>
        <v>5.4</v>
      </c>
    </row>
    <row r="5" spans="1:10" x14ac:dyDescent="0.25">
      <c r="A5">
        <v>2</v>
      </c>
      <c r="B5" s="3">
        <f>0-2/2</f>
        <v>-1</v>
      </c>
      <c r="C5" s="3">
        <f>1-4/3</f>
        <v>-0.33333333333333326</v>
      </c>
      <c r="D5" s="3">
        <f>2-7/4</f>
        <v>0.25</v>
      </c>
      <c r="E5" s="3">
        <f>3-11/5</f>
        <v>0.79999999999999982</v>
      </c>
      <c r="F5" s="3">
        <f>4-16/6</f>
        <v>1.3333333333333335</v>
      </c>
      <c r="G5" s="3">
        <f>5-22/7</f>
        <v>1.8571428571428572</v>
      </c>
      <c r="H5">
        <f>6-29/8</f>
        <v>2.375</v>
      </c>
      <c r="I5">
        <f>7-37/9</f>
        <v>2.8888888888888893</v>
      </c>
      <c r="J5">
        <f>8-46/10</f>
        <v>3.4000000000000004</v>
      </c>
    </row>
    <row r="6" spans="1:10" x14ac:dyDescent="0.25">
      <c r="A6">
        <v>3</v>
      </c>
      <c r="B6" s="3"/>
      <c r="C6" s="3">
        <f>0-4/3</f>
        <v>-1.3333333333333333</v>
      </c>
      <c r="D6" s="3">
        <f>1-7/4</f>
        <v>-0.75</v>
      </c>
      <c r="E6" s="3">
        <f>2-11/5</f>
        <v>-0.20000000000000018</v>
      </c>
      <c r="F6" s="3">
        <f>3-16/6</f>
        <v>0.33333333333333348</v>
      </c>
      <c r="G6" s="3">
        <f>4-22/7</f>
        <v>0.85714285714285721</v>
      </c>
      <c r="H6">
        <f>5-29/8</f>
        <v>1.375</v>
      </c>
      <c r="I6">
        <f>6-37/9</f>
        <v>1.8888888888888893</v>
      </c>
      <c r="J6">
        <f>7-46/10</f>
        <v>2.4000000000000004</v>
      </c>
    </row>
    <row r="7" spans="1:10" x14ac:dyDescent="0.25">
      <c r="A7">
        <v>4</v>
      </c>
      <c r="B7" s="3"/>
      <c r="C7" s="3"/>
      <c r="D7" s="3">
        <f>0-7/4</f>
        <v>-1.75</v>
      </c>
      <c r="E7" s="3">
        <f>1-11/5</f>
        <v>-1.2000000000000002</v>
      </c>
      <c r="F7" s="3">
        <f>2-16/6</f>
        <v>-0.66666666666666652</v>
      </c>
      <c r="G7" s="3">
        <f>3-22/7</f>
        <v>-0.14285714285714279</v>
      </c>
      <c r="H7">
        <f>4-29/8</f>
        <v>0.375</v>
      </c>
      <c r="I7">
        <f>5-37/9</f>
        <v>0.88888888888888928</v>
      </c>
      <c r="J7">
        <f>6-46/10</f>
        <v>1.4000000000000004</v>
      </c>
    </row>
    <row r="8" spans="1:10" x14ac:dyDescent="0.25">
      <c r="A8">
        <v>5</v>
      </c>
      <c r="B8" s="3"/>
      <c r="C8" s="3"/>
      <c r="D8" s="3"/>
      <c r="E8" s="3">
        <f>0-11/5</f>
        <v>-2.2000000000000002</v>
      </c>
      <c r="F8" s="3">
        <f>1-16/6</f>
        <v>-1.6666666666666665</v>
      </c>
      <c r="G8" s="3">
        <f>2-22/7</f>
        <v>-1.1428571428571428</v>
      </c>
      <c r="H8">
        <f>3-29/8</f>
        <v>-0.625</v>
      </c>
      <c r="I8">
        <f>4-37/9</f>
        <v>-0.11111111111111072</v>
      </c>
      <c r="J8">
        <f>5-46/10</f>
        <v>0.40000000000000036</v>
      </c>
    </row>
    <row r="9" spans="1:10" x14ac:dyDescent="0.25">
      <c r="A9">
        <v>6</v>
      </c>
      <c r="B9" s="3"/>
      <c r="C9" s="3"/>
      <c r="D9" s="3"/>
      <c r="E9" s="3"/>
      <c r="F9" s="3">
        <f>0-16/6</f>
        <v>-2.6666666666666665</v>
      </c>
      <c r="G9" s="3">
        <f>1-22/7</f>
        <v>-2.1428571428571428</v>
      </c>
      <c r="H9">
        <f>2-29/8</f>
        <v>-1.625</v>
      </c>
      <c r="I9">
        <f>3-37/9</f>
        <v>-1.1111111111111107</v>
      </c>
      <c r="J9">
        <f>4-46/10</f>
        <v>-0.59999999999999964</v>
      </c>
    </row>
    <row r="10" spans="1:10" x14ac:dyDescent="0.25">
      <c r="A10">
        <v>7</v>
      </c>
      <c r="B10" s="3"/>
      <c r="C10" s="3"/>
      <c r="D10" s="3"/>
      <c r="E10" s="3"/>
      <c r="F10" s="3"/>
      <c r="G10" s="3">
        <f>0-22/7</f>
        <v>-3.1428571428571428</v>
      </c>
      <c r="H10">
        <f>1-29/8</f>
        <v>-2.625</v>
      </c>
      <c r="I10">
        <f>2-37/9</f>
        <v>-2.1111111111111107</v>
      </c>
      <c r="J10">
        <f>3-46/10</f>
        <v>-1.5999999999999996</v>
      </c>
    </row>
    <row r="11" spans="1:10" x14ac:dyDescent="0.25">
      <c r="A11">
        <v>8</v>
      </c>
      <c r="H11">
        <f>0-29/8</f>
        <v>-3.625</v>
      </c>
      <c r="I11">
        <f>1-37/9</f>
        <v>-3.1111111111111107</v>
      </c>
      <c r="J11">
        <f>2-46/10</f>
        <v>-2.5999999999999996</v>
      </c>
    </row>
    <row r="12" spans="1:10" x14ac:dyDescent="0.25">
      <c r="A12">
        <v>9</v>
      </c>
      <c r="I12">
        <f>0-37/9</f>
        <v>-4.1111111111111107</v>
      </c>
      <c r="J12">
        <f>1-46/10</f>
        <v>-3.5999999999999996</v>
      </c>
    </row>
    <row r="13" spans="1:10" x14ac:dyDescent="0.25">
      <c r="A13">
        <v>10</v>
      </c>
      <c r="J13">
        <f>0-46/10</f>
        <v>-4.5999999999999996</v>
      </c>
    </row>
    <row r="14" spans="1:10" x14ac:dyDescent="0.25">
      <c r="B14" s="3">
        <f t="shared" ref="B14:J14" si="0">SUM(B4:B13)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Turnaus</vt:lpstr>
      <vt:lpstr>Perjantai</vt:lpstr>
      <vt:lpstr>Lauantai</vt:lpstr>
      <vt:lpstr>Sunnuntai</vt:lpstr>
      <vt:lpstr>Pisteytys</vt:lpstr>
    </vt:vector>
  </TitlesOfParts>
  <Company>Bittium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Poikonen Jouni</dc:creator>
  <cp:lastModifiedBy>Poikonen Jouni</cp:lastModifiedBy>
  <dcterms:created xsi:type="dcterms:W3CDTF">2015-06-04T06:19:23Z</dcterms:created>
  <dcterms:modified xsi:type="dcterms:W3CDTF">2017-08-17T12:29:51Z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1614601864</vt:i4>
  </property>
  <property fmtid="{D5CDD505-2E9C-101B-9397-08002B2CF9AE}" pid="3" name="_NewReviewCycle">
    <vt:lpwstr/>
  </property>
  <property fmtid="{D5CDD505-2E9C-101B-9397-08002B2CF9AE}" pid="4" name="_EmailSubject">
    <vt:lpwstr>Kempelit</vt:lpwstr>
  </property>
  <property fmtid="{D5CDD505-2E9C-101B-9397-08002B2CF9AE}" pid="5" name="_AuthorEmail">
    <vt:lpwstr>Jouni.Poikonen@bittium.com</vt:lpwstr>
  </property>
  <property fmtid="{D5CDD505-2E9C-101B-9397-08002B2CF9AE}" pid="6" name="_AuthorEmailDisplayName">
    <vt:lpwstr>Poikonen Jouni</vt:lpwstr>
  </property>
</Properties>
</file>