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5"/>
  </bookViews>
  <sheets>
    <sheet name="Turnaus" sheetId="2" r:id="rId1"/>
    <sheet name="Perjantai" sheetId="3" r:id="rId2"/>
    <sheet name="Lauantai" sheetId="5" r:id="rId3"/>
    <sheet name="Sunnuntai" sheetId="6" r:id="rId4"/>
    <sheet name="Pisteytys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" l="1"/>
  <c r="O36" i="2"/>
  <c r="O35" i="2"/>
  <c r="O34" i="2"/>
  <c r="O33" i="2"/>
  <c r="O32" i="2"/>
  <c r="O31" i="2"/>
  <c r="O30" i="2"/>
  <c r="O29" i="2"/>
  <c r="O28" i="2"/>
  <c r="O27" i="2"/>
  <c r="P13" i="2"/>
  <c r="P12" i="2"/>
  <c r="P4" i="2"/>
  <c r="P3" i="2"/>
  <c r="O25" i="2"/>
  <c r="O24" i="2"/>
  <c r="O23" i="2"/>
  <c r="O22" i="2"/>
  <c r="O21" i="2"/>
  <c r="O20" i="2"/>
  <c r="O19" i="2"/>
  <c r="O18" i="2"/>
  <c r="O17" i="2"/>
  <c r="O16" i="2"/>
  <c r="O15" i="2"/>
  <c r="O13" i="2"/>
  <c r="O3" i="2"/>
  <c r="O4" i="2"/>
  <c r="O12" i="2"/>
  <c r="D7" i="4"/>
  <c r="M3" i="2"/>
  <c r="M37" i="2"/>
  <c r="M36" i="2"/>
  <c r="M35" i="2"/>
  <c r="M34" i="2"/>
  <c r="M33" i="2"/>
  <c r="M32" i="2"/>
  <c r="M31" i="2"/>
  <c r="M30" i="2"/>
  <c r="M29" i="2"/>
  <c r="M28" i="2"/>
  <c r="M27" i="2"/>
  <c r="K27" i="2"/>
  <c r="K37" i="2"/>
  <c r="K36" i="2"/>
  <c r="K35" i="2"/>
  <c r="K34" i="2"/>
  <c r="K33" i="2"/>
  <c r="K32" i="2"/>
  <c r="K31" i="2"/>
  <c r="K30" i="2"/>
  <c r="K29" i="2"/>
  <c r="K28" i="2"/>
  <c r="M25" i="2"/>
  <c r="M24" i="2"/>
  <c r="M23" i="2"/>
  <c r="M22" i="2"/>
  <c r="M21" i="2"/>
  <c r="M20" i="2"/>
  <c r="M19" i="2"/>
  <c r="M18" i="2"/>
  <c r="M17" i="2"/>
  <c r="M16" i="2"/>
  <c r="M15" i="2"/>
  <c r="K15" i="2"/>
  <c r="K25" i="2"/>
  <c r="K24" i="2"/>
  <c r="K23" i="2"/>
  <c r="K22" i="2"/>
  <c r="K21" i="2"/>
  <c r="K20" i="2"/>
  <c r="K19" i="2"/>
  <c r="K18" i="2"/>
  <c r="K17" i="2"/>
  <c r="K16" i="2"/>
  <c r="M13" i="2"/>
  <c r="M12" i="2"/>
  <c r="M4" i="2"/>
  <c r="K3" i="2"/>
  <c r="K13" i="2"/>
  <c r="K12" i="2"/>
  <c r="K4" i="2"/>
  <c r="I3" i="2"/>
  <c r="Q37" i="2"/>
  <c r="Q36" i="2"/>
  <c r="Q35" i="2"/>
  <c r="Q34" i="2"/>
  <c r="Q33" i="2"/>
  <c r="Q32" i="2"/>
  <c r="Q31" i="2"/>
  <c r="Q30" i="2"/>
  <c r="Q29" i="2"/>
  <c r="Q28" i="2"/>
  <c r="Q27" i="2"/>
  <c r="Q25" i="2"/>
  <c r="Q24" i="2"/>
  <c r="Q23" i="2"/>
  <c r="Q22" i="2"/>
  <c r="Q21" i="2"/>
  <c r="Q20" i="2"/>
  <c r="Q19" i="2"/>
  <c r="Q18" i="2"/>
  <c r="Q17" i="2"/>
  <c r="Q16" i="2"/>
  <c r="Q15" i="2"/>
  <c r="E15" i="2"/>
  <c r="Q13" i="2"/>
  <c r="Q12" i="2"/>
  <c r="Q4" i="2"/>
  <c r="Q3" i="2"/>
  <c r="E3" i="2"/>
  <c r="I37" i="2"/>
  <c r="I36" i="2"/>
  <c r="I35" i="2"/>
  <c r="I34" i="2"/>
  <c r="I33" i="2"/>
  <c r="I32" i="2"/>
  <c r="I31" i="2"/>
  <c r="I30" i="2"/>
  <c r="I29" i="2"/>
  <c r="I28" i="2"/>
  <c r="I27" i="2"/>
  <c r="I15" i="2"/>
  <c r="I25" i="2"/>
  <c r="I24" i="2"/>
  <c r="I23" i="2"/>
  <c r="I22" i="2"/>
  <c r="I21" i="2"/>
  <c r="I20" i="2"/>
  <c r="I19" i="2"/>
  <c r="I18" i="2"/>
  <c r="I17" i="2"/>
  <c r="I16" i="2"/>
  <c r="I13" i="2"/>
  <c r="J13" i="2" s="1"/>
  <c r="I12" i="2"/>
  <c r="I4" i="2"/>
  <c r="J4" i="2" s="1"/>
  <c r="G3" i="2"/>
  <c r="H37" i="2"/>
  <c r="H36" i="2"/>
  <c r="H33" i="2"/>
  <c r="H32" i="2"/>
  <c r="H29" i="2"/>
  <c r="H28" i="2"/>
  <c r="H27" i="2"/>
  <c r="G27" i="2"/>
  <c r="G37" i="2"/>
  <c r="G36" i="2"/>
  <c r="N36" i="2" s="1"/>
  <c r="G35" i="2"/>
  <c r="G34" i="2"/>
  <c r="N34" i="2" s="1"/>
  <c r="G33" i="2"/>
  <c r="G32" i="2"/>
  <c r="N32" i="2" s="1"/>
  <c r="G31" i="2"/>
  <c r="G30" i="2"/>
  <c r="N30" i="2" s="1"/>
  <c r="G29" i="2"/>
  <c r="G28" i="2"/>
  <c r="N28" i="2" s="1"/>
  <c r="H25" i="2"/>
  <c r="H24" i="2"/>
  <c r="H23" i="2"/>
  <c r="H22" i="2"/>
  <c r="H21" i="2"/>
  <c r="H20" i="2"/>
  <c r="H19" i="2"/>
  <c r="H17" i="2"/>
  <c r="H16" i="2"/>
  <c r="H13" i="2"/>
  <c r="H12" i="2"/>
  <c r="H4" i="2"/>
  <c r="H15" i="2"/>
  <c r="G25" i="2"/>
  <c r="N25" i="2" s="1"/>
  <c r="G24" i="2"/>
  <c r="P24" i="2" s="1"/>
  <c r="G23" i="2"/>
  <c r="N23" i="2" s="1"/>
  <c r="G22" i="2"/>
  <c r="P22" i="2" s="1"/>
  <c r="G21" i="2"/>
  <c r="N21" i="2" s="1"/>
  <c r="G20" i="2"/>
  <c r="P20" i="2" s="1"/>
  <c r="G19" i="2"/>
  <c r="N19" i="2" s="1"/>
  <c r="G18" i="2"/>
  <c r="G17" i="2"/>
  <c r="N17" i="2" s="1"/>
  <c r="G16" i="2"/>
  <c r="P16" i="2" s="1"/>
  <c r="G15" i="2"/>
  <c r="N15" i="2" s="1"/>
  <c r="G13" i="2"/>
  <c r="H3" i="2"/>
  <c r="G12" i="2"/>
  <c r="G4" i="2"/>
  <c r="F37" i="2"/>
  <c r="F36" i="2"/>
  <c r="F33" i="2"/>
  <c r="F32" i="2"/>
  <c r="F29" i="2"/>
  <c r="F28" i="2"/>
  <c r="F27" i="2"/>
  <c r="E27" i="2"/>
  <c r="E37" i="2"/>
  <c r="E36" i="2"/>
  <c r="E35" i="2"/>
  <c r="E34" i="2"/>
  <c r="E33" i="2"/>
  <c r="E32" i="2"/>
  <c r="E31" i="2"/>
  <c r="E30" i="2"/>
  <c r="E29" i="2"/>
  <c r="E28" i="2"/>
  <c r="F25" i="2"/>
  <c r="F24" i="2"/>
  <c r="F23" i="2"/>
  <c r="F22" i="2"/>
  <c r="F21" i="2"/>
  <c r="F20" i="2"/>
  <c r="F19" i="2"/>
  <c r="F17" i="2"/>
  <c r="F16" i="2"/>
  <c r="F15" i="2"/>
  <c r="F13" i="2"/>
  <c r="F12" i="2"/>
  <c r="F4" i="2"/>
  <c r="F3" i="2"/>
  <c r="E18" i="2"/>
  <c r="E25" i="2"/>
  <c r="E24" i="2"/>
  <c r="E23" i="2"/>
  <c r="E22" i="2"/>
  <c r="E21" i="2"/>
  <c r="E20" i="2"/>
  <c r="E19" i="2"/>
  <c r="E17" i="2"/>
  <c r="E16" i="2"/>
  <c r="E11" i="2"/>
  <c r="E10" i="2"/>
  <c r="E9" i="2"/>
  <c r="E8" i="2"/>
  <c r="E7" i="2"/>
  <c r="E6" i="2"/>
  <c r="E5" i="2"/>
  <c r="H16" i="6"/>
  <c r="H10" i="6"/>
  <c r="H11" i="6"/>
  <c r="H12" i="6"/>
  <c r="H13" i="6"/>
  <c r="H3" i="6"/>
  <c r="H4" i="6"/>
  <c r="H5" i="6"/>
  <c r="H6" i="6"/>
  <c r="H7" i="6"/>
  <c r="H8" i="6"/>
  <c r="H29" i="3"/>
  <c r="H109" i="5"/>
  <c r="H106" i="5"/>
  <c r="H105" i="5"/>
  <c r="H104" i="5"/>
  <c r="H103" i="5"/>
  <c r="H102" i="5"/>
  <c r="H101" i="5"/>
  <c r="H100" i="5"/>
  <c r="H98" i="5"/>
  <c r="H97" i="5"/>
  <c r="H96" i="5"/>
  <c r="H95" i="5"/>
  <c r="H94" i="5"/>
  <c r="H93" i="5"/>
  <c r="H92" i="5"/>
  <c r="H83" i="5"/>
  <c r="H84" i="5"/>
  <c r="H85" i="5"/>
  <c r="H86" i="5"/>
  <c r="H88" i="5"/>
  <c r="H89" i="5"/>
  <c r="H90" i="5"/>
  <c r="J12" i="2" l="1"/>
  <c r="N16" i="2"/>
  <c r="N20" i="2"/>
  <c r="N24" i="2"/>
  <c r="P17" i="2"/>
  <c r="P21" i="2"/>
  <c r="P25" i="2"/>
  <c r="N27" i="2"/>
  <c r="N31" i="2"/>
  <c r="N35" i="2"/>
  <c r="P18" i="2"/>
  <c r="N18" i="2"/>
  <c r="N22" i="2"/>
  <c r="P15" i="2"/>
  <c r="P19" i="2"/>
  <c r="P23" i="2"/>
  <c r="N29" i="2"/>
  <c r="N33" i="2"/>
  <c r="N37" i="2"/>
  <c r="P27" i="2"/>
  <c r="P31" i="2"/>
  <c r="P35" i="2"/>
  <c r="P28" i="2"/>
  <c r="P32" i="2"/>
  <c r="P36" i="2"/>
  <c r="P29" i="2"/>
  <c r="P33" i="2"/>
  <c r="P37" i="2"/>
  <c r="J19" i="2"/>
  <c r="J23" i="2"/>
  <c r="P30" i="2"/>
  <c r="P34" i="2"/>
  <c r="L37" i="2"/>
  <c r="L36" i="2"/>
  <c r="L35" i="2"/>
  <c r="L34" i="2"/>
  <c r="L33" i="2"/>
  <c r="L32" i="2"/>
  <c r="L31" i="2"/>
  <c r="L30" i="2"/>
  <c r="L29" i="2"/>
  <c r="L28" i="2"/>
  <c r="L27" i="2"/>
  <c r="L18" i="2"/>
  <c r="L22" i="2"/>
  <c r="L19" i="2"/>
  <c r="L23" i="2"/>
  <c r="L15" i="2"/>
  <c r="J16" i="2"/>
  <c r="J28" i="2"/>
  <c r="L16" i="2"/>
  <c r="L20" i="2"/>
  <c r="L24" i="2"/>
  <c r="L17" i="2"/>
  <c r="L21" i="2"/>
  <c r="L25" i="2"/>
  <c r="J32" i="2"/>
  <c r="J36" i="2"/>
  <c r="L12" i="2"/>
  <c r="N4" i="2"/>
  <c r="J20" i="2"/>
  <c r="J33" i="2"/>
  <c r="J37" i="2"/>
  <c r="L13" i="2"/>
  <c r="N12" i="2"/>
  <c r="J24" i="2"/>
  <c r="J21" i="2"/>
  <c r="J25" i="2"/>
  <c r="J15" i="2"/>
  <c r="J30" i="2"/>
  <c r="J34" i="2"/>
  <c r="J3" i="2"/>
  <c r="L3" i="2"/>
  <c r="N13" i="2"/>
  <c r="J29" i="2"/>
  <c r="J17" i="2"/>
  <c r="J18" i="2"/>
  <c r="J22" i="2"/>
  <c r="J27" i="2"/>
  <c r="J31" i="2"/>
  <c r="J35" i="2"/>
  <c r="L4" i="2"/>
  <c r="N3" i="2"/>
  <c r="H78" i="5"/>
  <c r="H79" i="5"/>
  <c r="H80" i="5"/>
  <c r="H81" i="5"/>
  <c r="H74" i="5"/>
  <c r="H75" i="5"/>
  <c r="H76" i="5"/>
  <c r="H62" i="5"/>
  <c r="H63" i="5"/>
  <c r="H64" i="5"/>
  <c r="H65" i="5"/>
  <c r="H66" i="5"/>
  <c r="H57" i="5"/>
  <c r="H58" i="5"/>
  <c r="H59" i="5"/>
  <c r="H60" i="5"/>
  <c r="H68" i="5"/>
  <c r="H69" i="5"/>
  <c r="H70" i="5"/>
  <c r="H71" i="5"/>
  <c r="H72" i="5"/>
  <c r="H51" i="5"/>
  <c r="H52" i="5"/>
  <c r="H53" i="5"/>
  <c r="H54" i="5"/>
  <c r="H55" i="5"/>
  <c r="H45" i="5"/>
  <c r="H46" i="5"/>
  <c r="H47" i="5"/>
  <c r="H48" i="5"/>
  <c r="H49" i="5"/>
  <c r="H40" i="5"/>
  <c r="H41" i="5"/>
  <c r="H42" i="5"/>
  <c r="H43" i="5"/>
  <c r="H35" i="5"/>
  <c r="H36" i="5"/>
  <c r="H37" i="5"/>
  <c r="H38" i="5"/>
  <c r="H32" i="5"/>
  <c r="H33" i="5"/>
  <c r="H27" i="5"/>
  <c r="H28" i="5"/>
  <c r="H29" i="5"/>
  <c r="H30" i="5"/>
  <c r="H11" i="5"/>
  <c r="H12" i="5"/>
  <c r="H13" i="5"/>
  <c r="H14" i="5"/>
  <c r="H22" i="5"/>
  <c r="H23" i="5"/>
  <c r="H24" i="5"/>
  <c r="H25" i="5"/>
  <c r="H19" i="5"/>
  <c r="H20" i="5"/>
  <c r="H16" i="5"/>
  <c r="H17" i="5"/>
  <c r="H6" i="5"/>
  <c r="H7" i="5"/>
  <c r="H8" i="5"/>
  <c r="H9" i="5"/>
  <c r="H23" i="3"/>
  <c r="H24" i="3"/>
  <c r="H25" i="3"/>
  <c r="H26" i="3"/>
  <c r="H18" i="3"/>
  <c r="H19" i="3"/>
  <c r="H20" i="3"/>
  <c r="H21" i="3"/>
  <c r="H13" i="3"/>
  <c r="H14" i="3"/>
  <c r="H15" i="3"/>
  <c r="H16" i="3"/>
  <c r="E12" i="2" s="1"/>
  <c r="H8" i="3"/>
  <c r="H9" i="3"/>
  <c r="E4" i="2" s="1"/>
  <c r="H10" i="3"/>
  <c r="H11" i="3"/>
  <c r="E13" i="2" s="1"/>
  <c r="H3" i="3"/>
  <c r="H4" i="3"/>
  <c r="H5" i="3"/>
  <c r="H6" i="3"/>
  <c r="H3" i="5"/>
  <c r="H4" i="5"/>
  <c r="G10" i="4" l="1"/>
  <c r="G9" i="4"/>
  <c r="G8" i="4"/>
  <c r="G6" i="4"/>
  <c r="G7" i="4"/>
  <c r="G5" i="4"/>
  <c r="G4" i="4"/>
  <c r="F9" i="4"/>
  <c r="F8" i="4"/>
  <c r="F7" i="4"/>
  <c r="F6" i="4"/>
  <c r="F5" i="4"/>
  <c r="F4" i="4"/>
  <c r="E8" i="4"/>
  <c r="E7" i="4"/>
  <c r="E6" i="4"/>
  <c r="E5" i="4"/>
  <c r="E4" i="4"/>
  <c r="D6" i="4"/>
  <c r="D5" i="4"/>
  <c r="D4" i="4"/>
  <c r="C6" i="4"/>
  <c r="C5" i="4"/>
  <c r="C4" i="4"/>
  <c r="B5" i="4"/>
  <c r="B4" i="4"/>
</calcChain>
</file>

<file path=xl/sharedStrings.xml><?xml version="1.0" encoding="utf-8"?>
<sst xmlns="http://schemas.openxmlformats.org/spreadsheetml/2006/main" count="302" uniqueCount="97">
  <si>
    <t>Peli</t>
  </si>
  <si>
    <t>Klo</t>
  </si>
  <si>
    <t>Tulos</t>
  </si>
  <si>
    <t>Pisteet</t>
  </si>
  <si>
    <t>HJ</t>
  </si>
  <si>
    <t>Jabla</t>
  </si>
  <si>
    <t>Mikko</t>
  </si>
  <si>
    <t>Jmd</t>
  </si>
  <si>
    <t>Päivä</t>
  </si>
  <si>
    <t>7 Wonders</t>
  </si>
  <si>
    <t>Lisätietoa</t>
  </si>
  <si>
    <t>The Great Wall</t>
  </si>
  <si>
    <t>Rhodos</t>
  </si>
  <si>
    <t>Manneken Piss</t>
  </si>
  <si>
    <t>Gizah</t>
  </si>
  <si>
    <t>Sija</t>
  </si>
  <si>
    <t>Pisteet eri pelaajamäärillä</t>
  </si>
  <si>
    <t>+ Wonder Pack</t>
  </si>
  <si>
    <t>+ Leaders</t>
  </si>
  <si>
    <t>+ Cities</t>
  </si>
  <si>
    <t>Alexandria</t>
  </si>
  <si>
    <t>Olympia</t>
  </si>
  <si>
    <t>Stonehenge</t>
  </si>
  <si>
    <t>Roma</t>
  </si>
  <si>
    <t>Babylonia</t>
  </si>
  <si>
    <t>Ephesos</t>
  </si>
  <si>
    <t>Halikarnassos</t>
  </si>
  <si>
    <t>16 rahaa</t>
  </si>
  <si>
    <t>12 rahaa</t>
  </si>
  <si>
    <t>Clans</t>
  </si>
  <si>
    <t>EK</t>
  </si>
  <si>
    <t>Thurn und Taxis</t>
  </si>
  <si>
    <t>Repa</t>
  </si>
  <si>
    <t>Noze</t>
  </si>
  <si>
    <t>Blue Moon</t>
  </si>
  <si>
    <t>Sussu</t>
  </si>
  <si>
    <t>Tony</t>
  </si>
  <si>
    <t>Hoax</t>
  </si>
  <si>
    <t>Vulca</t>
  </si>
  <si>
    <t>Lord of the Rings</t>
  </si>
  <si>
    <t>Dark</t>
  </si>
  <si>
    <t>Good</t>
  </si>
  <si>
    <t>Tongiaki</t>
  </si>
  <si>
    <t>Alhambra</t>
  </si>
  <si>
    <t>Hase &amp; Igel</t>
  </si>
  <si>
    <t>Jani</t>
  </si>
  <si>
    <t>Ile</t>
  </si>
  <si>
    <t>Carcassonne</t>
  </si>
  <si>
    <t>The Confrontation</t>
  </si>
  <si>
    <t>Die Jäger und Sammler</t>
  </si>
  <si>
    <t>The Bridges of Shangri-La</t>
  </si>
  <si>
    <t>Modern Art</t>
  </si>
  <si>
    <t>Union Pacific</t>
  </si>
  <si>
    <t>6 Nimmt!</t>
  </si>
  <si>
    <t>Love Letter</t>
  </si>
  <si>
    <t>Kingdom Builder</t>
  </si>
  <si>
    <t>Web of Power</t>
  </si>
  <si>
    <t>11 nappulaa</t>
  </si>
  <si>
    <t>8 nappulaa</t>
  </si>
  <si>
    <t>Small World</t>
  </si>
  <si>
    <t>+ Great Dames</t>
  </si>
  <si>
    <t>+ Cursed!</t>
  </si>
  <si>
    <t>+ Be Not Afraid…</t>
  </si>
  <si>
    <t>Bang</t>
  </si>
  <si>
    <t>Sid Ketchum</t>
  </si>
  <si>
    <t>Jourdonnais</t>
  </si>
  <si>
    <t>Bart Cassidy</t>
  </si>
  <si>
    <t>Sheriff</t>
  </si>
  <si>
    <t>Deputy</t>
  </si>
  <si>
    <t>Outlaw</t>
  </si>
  <si>
    <t>Lucky Duke</t>
  </si>
  <si>
    <t>Black Jack</t>
  </si>
  <si>
    <t>Kit Carlson</t>
  </si>
  <si>
    <t>Suzy Lafayette</t>
  </si>
  <si>
    <t>El Gringo</t>
  </si>
  <si>
    <t>Renagade</t>
  </si>
  <si>
    <t>Calamity Janet</t>
  </si>
  <si>
    <t>Paul Regret</t>
  </si>
  <si>
    <t>Tarkistussumma</t>
  </si>
  <si>
    <t>Medici</t>
  </si>
  <si>
    <t>Age of Industry</t>
  </si>
  <si>
    <t>Muutos</t>
  </si>
  <si>
    <t>Pelaaja</t>
  </si>
  <si>
    <t>Pelejä</t>
  </si>
  <si>
    <t>Perjantain</t>
  </si>
  <si>
    <t>jälkeen</t>
  </si>
  <si>
    <t>Lauantain</t>
  </si>
  <si>
    <t>Sunnuntain</t>
  </si>
  <si>
    <t>%</t>
  </si>
  <si>
    <t>Voittoja</t>
  </si>
  <si>
    <t>Viimeisenä</t>
  </si>
  <si>
    <t>Plussalla</t>
  </si>
  <si>
    <t>Miinuksella</t>
  </si>
  <si>
    <t>Kaikkien pelin pisteet yhteensä :)</t>
  </si>
  <si>
    <t>peliä</t>
  </si>
  <si>
    <t>pelaajaa</t>
  </si>
  <si>
    <t>Oase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</si>
</sst>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20" fontId="0" fillId="0" borderId="0" xfId="0" applyNumberFormat="1"/>
    <xf numFmtId="2" fontId="0" fillId="0" borderId="0" xfId="0" applyNumberFormat="1"/>
    <xf numFmtId="0" fontId="0" fillId="0" borderId="0" xfId="0" quotePrefix="1"/>
    <xf numFmtId="9" fontId="2" fillId="0" borderId="0" xfId="1" applyNumberFormat="1" applyFont="1"/>
    <xf numFmtId="1" fontId="2" fillId="0" borderId="0" xfId="1" applyNumberFormat="1" applyFont="1"/>
    <xf numFmtId="0" fontId="3" fillId="0" borderId="1" xfId="1" applyFont="1" applyBorder="1"/>
    <xf numFmtId="0" fontId="2" fillId="0" borderId="1" xfId="1" applyFont="1" applyBorder="1"/>
    <xf numFmtId="9" fontId="2" fillId="0" borderId="1" xfId="1" applyNumberFormat="1" applyFont="1" applyBorder="1"/>
    <xf numFmtId="1" fontId="2" fillId="0" borderId="1" xfId="1" applyNumberFormat="1" applyFont="1" applyBorder="1"/>
    <xf numFmtId="0" fontId="2" fillId="0" borderId="0" xfId="1" applyFont="1" applyBorder="1"/>
    <xf numFmtId="9" fontId="2" fillId="0" borderId="0" xfId="1" applyNumberFormat="1" applyFont="1" applyBorder="1"/>
    <xf numFmtId="1" fontId="2" fillId="0" borderId="0" xfId="1" applyNumberFormat="1" applyFont="1" applyBorder="1"/>
    <xf numFmtId="0" fontId="2" fillId="0" borderId="2" xfId="1" applyFont="1" applyBorder="1"/>
    <xf numFmtId="9" fontId="2" fillId="0" borderId="2" xfId="1" applyNumberFormat="1" applyFont="1" applyBorder="1"/>
    <xf numFmtId="1" fontId="2" fillId="0" borderId="2" xfId="1" applyNumberFormat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2" fontId="2" fillId="0" borderId="3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1" applyNumberFormat="1" applyFont="1" applyBorder="1"/>
    <xf numFmtId="2" fontId="2" fillId="0" borderId="7" xfId="1" applyNumberFormat="1" applyFont="1" applyBorder="1"/>
    <xf numFmtId="2" fontId="2" fillId="0" borderId="8" xfId="1" applyNumberFormat="1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164" fontId="2" fillId="0" borderId="8" xfId="1" applyNumberFormat="1" applyFont="1" applyBorder="1"/>
    <xf numFmtId="9" fontId="2" fillId="0" borderId="4" xfId="1" applyNumberFormat="1" applyFont="1" applyBorder="1"/>
    <xf numFmtId="9" fontId="2" fillId="0" borderId="6" xfId="1" applyNumberFormat="1" applyFont="1" applyBorder="1"/>
    <xf numFmtId="9" fontId="2" fillId="0" borderId="8" xfId="1" applyNumberFormat="1" applyFont="1" applyBorder="1"/>
    <xf numFmtId="0" fontId="2" fillId="0" borderId="3" xfId="1" applyNumberFormat="1" applyFont="1" applyBorder="1"/>
    <xf numFmtId="0" fontId="2" fillId="0" borderId="5" xfId="1" applyNumberFormat="1" applyFont="1" applyBorder="1"/>
    <xf numFmtId="0" fontId="2" fillId="0" borderId="7" xfId="1" applyNumberFormat="1" applyFont="1" applyBorder="1"/>
  </cellXfs>
  <cellStyles count="2">
    <cellStyle name="Normal" xfId="0" builtinId="0"/>
    <cellStyle name="Normal 2" xfId="1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Bittium 2015 colors">
      <a:dk1>
        <a:srgbClr val="000000"/>
      </a:dk1>
      <a:lt1>
        <a:srgbClr val="FFFFFF"/>
      </a:lt1>
      <a:dk2>
        <a:srgbClr val="51626F"/>
      </a:dk2>
      <a:lt2>
        <a:srgbClr val="E0E6E6"/>
      </a:lt2>
      <a:accent1>
        <a:srgbClr val="6F9AD3"/>
      </a:accent1>
      <a:accent2>
        <a:srgbClr val="51626F"/>
      </a:accent2>
      <a:accent3>
        <a:srgbClr val="FFCB4F"/>
      </a:accent3>
      <a:accent4>
        <a:srgbClr val="C966CD"/>
      </a:accent4>
      <a:accent5>
        <a:srgbClr val="C3E76F"/>
      </a:accent5>
      <a:accent6>
        <a:srgbClr val="DCDCDC"/>
      </a:accent6>
      <a:hlink>
        <a:srgbClr val="009EE8"/>
      </a:hlink>
      <a:folHlink>
        <a:srgbClr val="00BFFA"/>
      </a:folHlink>
    </a:clrScheme>
    <a:fontScheme name="Bittium 2015 Calibri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zoomScale="120" zoomScaleNormal="120" workbookViewId="0"/>
  </sheetViews>
  <sheetFormatPr defaultRowHeight="12.75" x14ac:dyDescent="0.2"/>
  <cols>
    <col min="1" max="1" width="13.140625" style="1" customWidth="1"/>
    <col min="2" max="2" width="9.140625" style="19"/>
    <col min="3" max="3" width="9.140625" style="20"/>
    <col min="4" max="4" width="9.140625" style="1"/>
    <col min="5" max="5" width="9.140625" style="25"/>
    <col min="6" max="6" width="9.140625" style="26"/>
    <col min="7" max="7" width="9.140625" style="19"/>
    <col min="8" max="8" width="9.140625" style="30"/>
    <col min="9" max="9" width="9.140625" style="19"/>
    <col min="10" max="10" width="9.140625" style="33"/>
    <col min="11" max="11" width="9.140625" style="19"/>
    <col min="12" max="12" width="9.140625" style="33"/>
    <col min="13" max="13" width="9.140625" style="19"/>
    <col min="14" max="14" width="9.140625" style="33"/>
    <col min="15" max="15" width="9.140625" style="36"/>
    <col min="16" max="16" width="9.140625" style="33"/>
    <col min="17" max="17" width="9.140625" style="6"/>
    <col min="18" max="18" width="9.140625" style="5"/>
    <col min="19" max="19" width="9.140625" style="1"/>
    <col min="20" max="20" width="9.140625" style="5"/>
    <col min="21" max="21" width="9.140625" style="1"/>
    <col min="22" max="22" width="9.140625" style="5"/>
    <col min="23" max="16384" width="9.140625" style="1"/>
  </cols>
  <sheetData>
    <row r="1" spans="1:22" x14ac:dyDescent="0.2">
      <c r="A1" s="1" t="s">
        <v>8</v>
      </c>
      <c r="B1" s="17" t="s">
        <v>15</v>
      </c>
      <c r="C1" s="18" t="s">
        <v>81</v>
      </c>
      <c r="D1" s="1" t="s">
        <v>82</v>
      </c>
      <c r="E1" s="23" t="s">
        <v>3</v>
      </c>
      <c r="F1" s="24" t="s">
        <v>81</v>
      </c>
      <c r="G1" s="17" t="s">
        <v>83</v>
      </c>
      <c r="H1" s="29" t="s">
        <v>81</v>
      </c>
      <c r="I1" s="17" t="s">
        <v>89</v>
      </c>
      <c r="J1" s="32" t="s">
        <v>88</v>
      </c>
      <c r="K1" s="17" t="s">
        <v>91</v>
      </c>
      <c r="L1" s="32" t="s">
        <v>88</v>
      </c>
      <c r="M1" s="17" t="s">
        <v>92</v>
      </c>
      <c r="N1" s="32" t="s">
        <v>88</v>
      </c>
      <c r="O1" s="35" t="s">
        <v>90</v>
      </c>
      <c r="P1" s="32" t="s">
        <v>88</v>
      </c>
      <c r="Q1" s="6" t="s">
        <v>93</v>
      </c>
    </row>
    <row r="3" spans="1:22" s="8" customFormat="1" x14ac:dyDescent="0.2">
      <c r="A3" s="7" t="s">
        <v>84</v>
      </c>
      <c r="B3" s="17">
        <v>1</v>
      </c>
      <c r="C3" s="18"/>
      <c r="D3" s="8" t="s">
        <v>4</v>
      </c>
      <c r="E3" s="23">
        <f>SUMIF(Perjantai!D:D,Turnaus!D3,Perjantai!H:H)</f>
        <v>6.25</v>
      </c>
      <c r="F3" s="24">
        <f>SUMIF(Perjantai!D:D,Turnaus!D3,Perjantai!H:H)</f>
        <v>6.25</v>
      </c>
      <c r="G3" s="17">
        <f>COUNTIF(Perjantai!D:D,D3)</f>
        <v>5</v>
      </c>
      <c r="H3" s="29">
        <f>COUNTIF(Perjantai!D:D,D3)</f>
        <v>5</v>
      </c>
      <c r="I3" s="17">
        <f>COUNTIFS(Perjantai!D:D,D3,Perjantai!C:C,1)</f>
        <v>3</v>
      </c>
      <c r="J3" s="32">
        <f>I3/$G3</f>
        <v>0.6</v>
      </c>
      <c r="K3" s="17">
        <f>COUNTIFS(Perjantai!D:D,D3,Perjantai!H:H,"&gt;0")</f>
        <v>4</v>
      </c>
      <c r="L3" s="32">
        <f>K3/$G3</f>
        <v>0.8</v>
      </c>
      <c r="M3" s="17">
        <f>COUNTIFS(Perjantai!D:D,D3,Perjantai!H:H,"&lt;0")</f>
        <v>1</v>
      </c>
      <c r="N3" s="32">
        <f>M3/$G3</f>
        <v>0.2</v>
      </c>
      <c r="O3" s="35">
        <f>COUNTIFS(Perjantai!D:D,D3,Perjantai!H:H,Pisteytys!D$7)</f>
        <v>0</v>
      </c>
      <c r="P3" s="32">
        <f>O3/$G3</f>
        <v>0</v>
      </c>
      <c r="Q3" s="10">
        <f>SUMIF(Perjantai!D:D,Turnaus!D3,Perjantai!F:F)</f>
        <v>276</v>
      </c>
      <c r="R3" s="9"/>
      <c r="T3" s="9"/>
      <c r="V3" s="9"/>
    </row>
    <row r="4" spans="1:22" s="11" customFormat="1" x14ac:dyDescent="0.2">
      <c r="A4" s="11" t="s">
        <v>85</v>
      </c>
      <c r="B4" s="19">
        <v>2</v>
      </c>
      <c r="C4" s="20"/>
      <c r="D4" s="11" t="s">
        <v>7</v>
      </c>
      <c r="E4" s="25">
        <f>SUMIF(Perjantai!D:D,Turnaus!D4,Perjantai!H:H)</f>
        <v>3.25</v>
      </c>
      <c r="F4" s="26">
        <f>SUMIF(Perjantai!D:D,Turnaus!D4,Perjantai!H:H)</f>
        <v>3.25</v>
      </c>
      <c r="G4" s="19">
        <f>COUNTIF(Perjantai!D:D,D4)</f>
        <v>5</v>
      </c>
      <c r="H4" s="30">
        <f>COUNTIF(Perjantai!D:D,D4)</f>
        <v>5</v>
      </c>
      <c r="I4" s="19">
        <f>COUNTIFS(Perjantai!D:D,D4,Perjantai!C:C,1)</f>
        <v>1</v>
      </c>
      <c r="J4" s="33">
        <f>I4/$G4</f>
        <v>0.2</v>
      </c>
      <c r="K4" s="19">
        <f>COUNTIFS(Perjantai!D:D,D4,Perjantai!H:H,"&gt;0")</f>
        <v>5</v>
      </c>
      <c r="L4" s="33">
        <f>K4/$G4</f>
        <v>1</v>
      </c>
      <c r="M4" s="19">
        <f>COUNTIFS(Perjantai!D:D,D4,Perjantai!H:H,"&lt;0")</f>
        <v>0</v>
      </c>
      <c r="N4" s="33">
        <f>M4/$G4</f>
        <v>0</v>
      </c>
      <c r="O4" s="36">
        <f>COUNTIFS(Perjantai!D:D,D4,Perjantai!H:H,Pisteytys!D$7)</f>
        <v>0</v>
      </c>
      <c r="P4" s="33">
        <f>O4/$G4</f>
        <v>0</v>
      </c>
      <c r="Q4" s="13">
        <f>SUMIF(Perjantai!D:D,Turnaus!D4,Perjantai!F:F)</f>
        <v>269</v>
      </c>
      <c r="R4" s="12"/>
      <c r="T4" s="12"/>
      <c r="V4" s="12"/>
    </row>
    <row r="5" spans="1:22" s="11" customFormat="1" x14ac:dyDescent="0.2">
      <c r="B5" s="19">
        <v>3</v>
      </c>
      <c r="C5" s="20"/>
      <c r="D5" s="11" t="s">
        <v>30</v>
      </c>
      <c r="E5" s="25">
        <f>SUMIF(Perjantai!D:D,Turnaus!D5,Perjantai!H:H)</f>
        <v>0</v>
      </c>
      <c r="F5" s="26"/>
      <c r="G5" s="19"/>
      <c r="H5" s="30"/>
      <c r="I5" s="19"/>
      <c r="J5" s="33"/>
      <c r="K5" s="19"/>
      <c r="L5" s="33"/>
      <c r="M5" s="19"/>
      <c r="N5" s="33"/>
      <c r="O5" s="36"/>
      <c r="P5" s="33"/>
      <c r="Q5" s="13"/>
      <c r="R5" s="12"/>
      <c r="T5" s="12"/>
      <c r="V5" s="12"/>
    </row>
    <row r="6" spans="1:22" s="11" customFormat="1" x14ac:dyDescent="0.2">
      <c r="B6" s="19"/>
      <c r="C6" s="20"/>
      <c r="D6" s="11" t="s">
        <v>46</v>
      </c>
      <c r="E6" s="25">
        <f>SUMIF(Perjantai!D:D,Turnaus!D6,Perjantai!H:H)</f>
        <v>0</v>
      </c>
      <c r="F6" s="26"/>
      <c r="G6" s="19"/>
      <c r="H6" s="30"/>
      <c r="I6" s="19"/>
      <c r="J6" s="33"/>
      <c r="K6" s="19"/>
      <c r="L6" s="33"/>
      <c r="M6" s="19"/>
      <c r="N6" s="33"/>
      <c r="O6" s="36"/>
      <c r="P6" s="33"/>
      <c r="Q6" s="13"/>
      <c r="R6" s="12"/>
      <c r="T6" s="12"/>
      <c r="V6" s="12"/>
    </row>
    <row r="7" spans="1:22" s="11" customFormat="1" x14ac:dyDescent="0.2">
      <c r="B7" s="19"/>
      <c r="C7" s="20"/>
      <c r="D7" s="11" t="s">
        <v>45</v>
      </c>
      <c r="E7" s="25">
        <f>SUMIF(Perjantai!D:D,Turnaus!D7,Perjantai!H:H)</f>
        <v>0</v>
      </c>
      <c r="F7" s="26"/>
      <c r="G7" s="19"/>
      <c r="H7" s="30"/>
      <c r="I7" s="19"/>
      <c r="J7" s="33"/>
      <c r="K7" s="19"/>
      <c r="L7" s="33"/>
      <c r="M7" s="19"/>
      <c r="N7" s="33"/>
      <c r="O7" s="36"/>
      <c r="P7" s="33"/>
      <c r="Q7" s="13"/>
      <c r="R7" s="12"/>
      <c r="T7" s="12"/>
      <c r="V7" s="12"/>
    </row>
    <row r="8" spans="1:22" s="11" customFormat="1" x14ac:dyDescent="0.2">
      <c r="B8" s="19"/>
      <c r="C8" s="20"/>
      <c r="D8" s="11" t="s">
        <v>33</v>
      </c>
      <c r="E8" s="25">
        <f>SUMIF(Perjantai!D:D,Turnaus!D8,Perjantai!H:H)</f>
        <v>0</v>
      </c>
      <c r="F8" s="26"/>
      <c r="G8" s="19"/>
      <c r="H8" s="30"/>
      <c r="I8" s="19"/>
      <c r="J8" s="33"/>
      <c r="K8" s="19"/>
      <c r="L8" s="33"/>
      <c r="M8" s="19"/>
      <c r="N8" s="33"/>
      <c r="O8" s="36"/>
      <c r="P8" s="33"/>
      <c r="Q8" s="13"/>
      <c r="R8" s="12"/>
      <c r="T8" s="12"/>
      <c r="V8" s="12"/>
    </row>
    <row r="9" spans="1:22" s="11" customFormat="1" x14ac:dyDescent="0.2">
      <c r="B9" s="19"/>
      <c r="C9" s="20"/>
      <c r="D9" s="11" t="s">
        <v>32</v>
      </c>
      <c r="E9" s="25">
        <f>SUMIF(Perjantai!D:D,Turnaus!D9,Perjantai!H:H)</f>
        <v>0</v>
      </c>
      <c r="F9" s="26"/>
      <c r="G9" s="19"/>
      <c r="H9" s="30"/>
      <c r="I9" s="19"/>
      <c r="J9" s="33"/>
      <c r="K9" s="19"/>
      <c r="L9" s="33"/>
      <c r="M9" s="19"/>
      <c r="N9" s="33"/>
      <c r="O9" s="36"/>
      <c r="P9" s="33"/>
      <c r="Q9" s="13"/>
      <c r="R9" s="12"/>
      <c r="T9" s="12"/>
      <c r="V9" s="12"/>
    </row>
    <row r="10" spans="1:22" s="11" customFormat="1" x14ac:dyDescent="0.2">
      <c r="B10" s="19"/>
      <c r="C10" s="20"/>
      <c r="D10" s="11" t="s">
        <v>35</v>
      </c>
      <c r="E10" s="25">
        <f>SUMIF(Perjantai!D:D,Turnaus!D10,Perjantai!H:H)</f>
        <v>0</v>
      </c>
      <c r="F10" s="26"/>
      <c r="G10" s="19"/>
      <c r="H10" s="30"/>
      <c r="I10" s="19"/>
      <c r="J10" s="33"/>
      <c r="K10" s="19"/>
      <c r="L10" s="33"/>
      <c r="M10" s="19"/>
      <c r="N10" s="33"/>
      <c r="O10" s="36"/>
      <c r="P10" s="33"/>
      <c r="Q10" s="13"/>
      <c r="R10" s="12"/>
      <c r="T10" s="12"/>
      <c r="V10" s="12"/>
    </row>
    <row r="11" spans="1:22" s="11" customFormat="1" x14ac:dyDescent="0.2">
      <c r="B11" s="19"/>
      <c r="C11" s="20"/>
      <c r="D11" s="11" t="s">
        <v>36</v>
      </c>
      <c r="E11" s="25">
        <f>SUMIF(Perjantai!D:D,Turnaus!D11,Perjantai!H:H)</f>
        <v>0</v>
      </c>
      <c r="F11" s="26"/>
      <c r="G11" s="19"/>
      <c r="H11" s="30"/>
      <c r="I11" s="19"/>
      <c r="J11" s="33"/>
      <c r="K11" s="19"/>
      <c r="L11" s="33"/>
      <c r="M11" s="19"/>
      <c r="N11" s="33"/>
      <c r="O11" s="36"/>
      <c r="P11" s="33"/>
      <c r="Q11" s="13"/>
      <c r="R11" s="12"/>
      <c r="T11" s="12"/>
      <c r="V11" s="12"/>
    </row>
    <row r="12" spans="1:22" s="11" customFormat="1" x14ac:dyDescent="0.2">
      <c r="B12" s="19">
        <v>10</v>
      </c>
      <c r="C12" s="20"/>
      <c r="D12" s="11" t="s">
        <v>5</v>
      </c>
      <c r="E12" s="25">
        <f>SUMIF(Perjantai!D:D,Turnaus!D12,Perjantai!H:H)</f>
        <v>-1.75</v>
      </c>
      <c r="F12" s="26">
        <f>SUMIF(Perjantai!D:D,Turnaus!D12,Perjantai!H:H)</f>
        <v>-1.75</v>
      </c>
      <c r="G12" s="19">
        <f>COUNTIF(Perjantai!D:D,D12)</f>
        <v>5</v>
      </c>
      <c r="H12" s="30">
        <f>COUNTIF(Perjantai!D:D,D12)</f>
        <v>5</v>
      </c>
      <c r="I12" s="19">
        <f>COUNTIFS(Perjantai!D:D,D12,Perjantai!C:C,1)</f>
        <v>1</v>
      </c>
      <c r="J12" s="33">
        <f>I12/$G12</f>
        <v>0.2</v>
      </c>
      <c r="K12" s="19">
        <f>COUNTIFS(Perjantai!D:D,D12,Perjantai!H:H,"&gt;0")</f>
        <v>1</v>
      </c>
      <c r="L12" s="33">
        <f>K12/$G12</f>
        <v>0.2</v>
      </c>
      <c r="M12" s="19">
        <f>COUNTIFS(Perjantai!D:D,D12,Perjantai!H:H,"&lt;0")</f>
        <v>4</v>
      </c>
      <c r="N12" s="33">
        <f>M12/$G12</f>
        <v>0.8</v>
      </c>
      <c r="O12" s="36">
        <f>COUNTIFS(Perjantai!D:D,D12,Perjantai!H:H,Pisteytys!D$7)</f>
        <v>1</v>
      </c>
      <c r="P12" s="33">
        <f>O12/$G12</f>
        <v>0.2</v>
      </c>
      <c r="Q12" s="13">
        <f>SUMIF(Perjantai!D:D,Turnaus!D12,Perjantai!F:F)</f>
        <v>249</v>
      </c>
      <c r="R12" s="12"/>
      <c r="T12" s="12"/>
      <c r="V12" s="12"/>
    </row>
    <row r="13" spans="1:22" s="14" customFormat="1" x14ac:dyDescent="0.2">
      <c r="B13" s="21">
        <v>11</v>
      </c>
      <c r="C13" s="22"/>
      <c r="D13" s="14" t="s">
        <v>6</v>
      </c>
      <c r="E13" s="27">
        <f>SUMIF(Perjantai!D:D,Turnaus!D13,Perjantai!H:H)</f>
        <v>-7.75</v>
      </c>
      <c r="F13" s="28">
        <f>SUMIF(Perjantai!D:D,Turnaus!D13,Perjantai!H:H)</f>
        <v>-7.75</v>
      </c>
      <c r="G13" s="21">
        <f>COUNTIF(Perjantai!D:D,D13)</f>
        <v>5</v>
      </c>
      <c r="H13" s="31">
        <f>COUNTIF(Perjantai!D:D,D13)</f>
        <v>5</v>
      </c>
      <c r="I13" s="21">
        <f>COUNTIFS(Perjantai!D:D,D13,Perjantai!C:C,1)</f>
        <v>0</v>
      </c>
      <c r="J13" s="34">
        <f>I13/$G13</f>
        <v>0</v>
      </c>
      <c r="K13" s="21">
        <f>COUNTIFS(Perjantai!D:D,D13,Perjantai!H:H,"&gt;0")</f>
        <v>0</v>
      </c>
      <c r="L13" s="34">
        <f>K13/$G13</f>
        <v>0</v>
      </c>
      <c r="M13" s="21">
        <f>COUNTIFS(Perjantai!D:D,D13,Perjantai!H:H,"&lt;0")</f>
        <v>5</v>
      </c>
      <c r="N13" s="34">
        <f>M13/$G13</f>
        <v>1</v>
      </c>
      <c r="O13" s="37">
        <f>COUNTIFS(Perjantai!D:D,D13,Perjantai!H:H,Pisteytys!D$7)</f>
        <v>4</v>
      </c>
      <c r="P13" s="34">
        <f>O13/$G13</f>
        <v>0.8</v>
      </c>
      <c r="Q13" s="16">
        <f>SUMIF(Perjantai!D:D,Turnaus!D13,Perjantai!F:F)</f>
        <v>211</v>
      </c>
      <c r="R13" s="15"/>
      <c r="T13" s="15"/>
      <c r="V13" s="15"/>
    </row>
    <row r="15" spans="1:22" s="8" customFormat="1" x14ac:dyDescent="0.2">
      <c r="A15" s="7" t="s">
        <v>86</v>
      </c>
      <c r="B15" s="17">
        <v>1</v>
      </c>
      <c r="C15" s="18"/>
      <c r="D15" s="8" t="s">
        <v>32</v>
      </c>
      <c r="E15" s="23">
        <f>SUMIF(Perjantai!D:D,Turnaus!D15,Perjantai!H:H)+SUMIF(Lauantai!D:D,Turnaus!D15,Lauantai!H:H)</f>
        <v>12.197619047619046</v>
      </c>
      <c r="F15" s="24">
        <f>SUMIF(Lauantai!D:D,Turnaus!D15,Lauantai!H:H)</f>
        <v>12.197619047619046</v>
      </c>
      <c r="G15" s="17">
        <f>COUNTIF(Perjantai!D:D,D15)+COUNTIF(Lauantai!D:D,D15)</f>
        <v>10</v>
      </c>
      <c r="H15" s="29">
        <f>COUNTIF(Lauantai!D:D,D15)</f>
        <v>10</v>
      </c>
      <c r="I15" s="17">
        <f>COUNTIFS(Perjantai!D:D,D15,Perjantai!C:C,1)+COUNTIFS(Lauantai!D:D,D15,Lauantai!C:C,1)</f>
        <v>6</v>
      </c>
      <c r="J15" s="32">
        <f>I15/$G15</f>
        <v>0.6</v>
      </c>
      <c r="K15" s="17">
        <f>COUNTIFS(Perjantai!D:D,D15,Perjantai!H:H,"&gt;0")+COUNTIFS(Lauantai!D:D,D15,Lauantai!H:H,"&gt;0")</f>
        <v>8</v>
      </c>
      <c r="L15" s="32">
        <f>K15/$G15</f>
        <v>0.8</v>
      </c>
      <c r="M15" s="17">
        <f>COUNTIFS(Perjantai!D:D,D15,Perjantai!H:H,"&lt;0")+COUNTIFS(Lauantai!D:D,D15,Lauantai!H:H,"&lt;0")</f>
        <v>2</v>
      </c>
      <c r="N15" s="32">
        <f>M15/$G15</f>
        <v>0.2</v>
      </c>
      <c r="O15" s="35">
        <f>COUNTIFS(Perjantai!D:D,D15,Perjantai!H:H,Pisteytys!D$7)+COUNTIFS(Lauantai!D:D,D15,Lauantai!H:H,Pisteytys!B$5)+COUNTIFS(Lauantai!D:D,D15,Lauantai!H:H,Pisteytys!C$6)+COUNTIFS(Lauantai!D:D,D15,Lauantai!H:H,Pisteytys!D$7)+COUNTIFS(Lauantai!D:D,D15,Lauantai!H:H,Pisteytys!E$8)+COUNTIFS(Lauantai!D:D,D15,Lauantai!H:H,Lauantai!H$106)</f>
        <v>1</v>
      </c>
      <c r="P15" s="32">
        <f>O15/$G15</f>
        <v>0.1</v>
      </c>
      <c r="Q15" s="10">
        <f>SUMIF(Perjantai!D:D,Turnaus!D15,Perjantai!F:F)+SUMIF(Lauantai!D:D,Turnaus!D15,Lauantai!F:F)</f>
        <v>505</v>
      </c>
      <c r="R15" s="9"/>
      <c r="T15" s="9"/>
      <c r="V15" s="9"/>
    </row>
    <row r="16" spans="1:22" s="11" customFormat="1" x14ac:dyDescent="0.2">
      <c r="A16" s="11" t="s">
        <v>85</v>
      </c>
      <c r="B16" s="19">
        <v>2</v>
      </c>
      <c r="C16" s="20"/>
      <c r="D16" s="11" t="s">
        <v>33</v>
      </c>
      <c r="E16" s="25">
        <f>SUMIF(Perjantai!D:D,Turnaus!D16,Perjantai!H:H)+SUMIF(Lauantai!D:D,Turnaus!D16,Lauantai!H:H)</f>
        <v>5.6476190476190471</v>
      </c>
      <c r="F16" s="26">
        <f>SUMIF(Lauantai!D:D,Turnaus!D16,Lauantai!H:H)</f>
        <v>5.6476190476190471</v>
      </c>
      <c r="G16" s="19">
        <f>COUNTIF(Perjantai!D:D,D16)+COUNTIF(Lauantai!D:D,D16)</f>
        <v>10</v>
      </c>
      <c r="H16" s="30">
        <f>COUNTIF(Lauantai!D:D,D16)</f>
        <v>10</v>
      </c>
      <c r="I16" s="19">
        <f>COUNTIFS(Perjantai!D:D,D16,Perjantai!C:C,1)+COUNTIFS(Lauantai!D:D,D16,Lauantai!C:C,1)</f>
        <v>3</v>
      </c>
      <c r="J16" s="33">
        <f>I16/$G16</f>
        <v>0.3</v>
      </c>
      <c r="K16" s="19">
        <f>COUNTIFS(Perjantai!D:D,D16,Perjantai!H:H,"&gt;0")+COUNTIFS(Lauantai!D:D,D16,Lauantai!H:H,"&gt;0")</f>
        <v>7</v>
      </c>
      <c r="L16" s="33">
        <f>K16/$G16</f>
        <v>0.7</v>
      </c>
      <c r="M16" s="19">
        <f>COUNTIFS(Perjantai!D:D,D16,Perjantai!H:H,"&lt;0")+COUNTIFS(Lauantai!D:D,D16,Lauantai!H:H,"&lt;0")</f>
        <v>3</v>
      </c>
      <c r="N16" s="33">
        <f>M16/$G16</f>
        <v>0.3</v>
      </c>
      <c r="O16" s="36">
        <f>COUNTIFS(Perjantai!D:D,D16,Perjantai!H:H,Pisteytys!D$7)+COUNTIFS(Lauantai!D:D,D16,Lauantai!H:H,Pisteytys!B$5)+COUNTIFS(Lauantai!D:D,D16,Lauantai!H:H,Pisteytys!C$6)+COUNTIFS(Lauantai!D:D,D16,Lauantai!H:H,Pisteytys!D$7)+COUNTIFS(Lauantai!D:D,D16,Lauantai!H:H,Pisteytys!E$8)+COUNTIFS(Lauantai!D:D,D16,Lauantai!H:H,Lauantai!H$106)</f>
        <v>1</v>
      </c>
      <c r="P16" s="33">
        <f>O16/$G16</f>
        <v>0.1</v>
      </c>
      <c r="Q16" s="13">
        <f>SUMIF(Perjantai!D:D,Turnaus!D16,Perjantai!F:F)+SUMIF(Lauantai!D:D,Turnaus!D16,Lauantai!F:F)</f>
        <v>470</v>
      </c>
      <c r="R16" s="12"/>
      <c r="T16" s="12"/>
      <c r="V16" s="12"/>
    </row>
    <row r="17" spans="1:22" s="11" customFormat="1" x14ac:dyDescent="0.2">
      <c r="B17" s="19">
        <v>3</v>
      </c>
      <c r="C17" s="20"/>
      <c r="D17" s="11" t="s">
        <v>46</v>
      </c>
      <c r="E17" s="25">
        <f>SUMIF(Perjantai!D:D,Turnaus!D17,Perjantai!H:H)+SUMIF(Lauantai!D:D,Turnaus!D17,Lauantai!H:H)</f>
        <v>2.0642857142857136</v>
      </c>
      <c r="F17" s="26">
        <f>SUMIF(Lauantai!D:D,Turnaus!D17,Lauantai!H:H)</f>
        <v>2.0642857142857136</v>
      </c>
      <c r="G17" s="19">
        <f>COUNTIF(Perjantai!D:D,D17)+COUNTIF(Lauantai!D:D,D17)</f>
        <v>9</v>
      </c>
      <c r="H17" s="30">
        <f>COUNTIF(Lauantai!D:D,D17)</f>
        <v>9</v>
      </c>
      <c r="I17" s="19">
        <f>COUNTIFS(Perjantai!D:D,D17,Perjantai!C:C,1)+COUNTIFS(Lauantai!D:D,D17,Lauantai!C:C,1)</f>
        <v>4</v>
      </c>
      <c r="J17" s="33">
        <f>I17/$G17</f>
        <v>0.44444444444444442</v>
      </c>
      <c r="K17" s="19">
        <f>COUNTIFS(Perjantai!D:D,D17,Perjantai!H:H,"&gt;0")+COUNTIFS(Lauantai!D:D,D17,Lauantai!H:H,"&gt;0")</f>
        <v>4</v>
      </c>
      <c r="L17" s="33">
        <f>K17/$G17</f>
        <v>0.44444444444444442</v>
      </c>
      <c r="M17" s="19">
        <f>COUNTIFS(Perjantai!D:D,D17,Perjantai!H:H,"&lt;0")+COUNTIFS(Lauantai!D:D,D17,Lauantai!H:H,"&lt;0")</f>
        <v>5</v>
      </c>
      <c r="N17" s="33">
        <f>M17/$G17</f>
        <v>0.55555555555555558</v>
      </c>
      <c r="O17" s="36">
        <f>COUNTIFS(Perjantai!D:D,D17,Perjantai!H:H,Pisteytys!D$7)+COUNTIFS(Lauantai!D:D,D17,Lauantai!H:H,Pisteytys!B$5)+COUNTIFS(Lauantai!D:D,D17,Lauantai!H:H,Pisteytys!C$6)+COUNTIFS(Lauantai!D:D,D17,Lauantai!H:H,Pisteytys!D$7)+COUNTIFS(Lauantai!D:D,D17,Lauantai!H:H,Pisteytys!E$8)+COUNTIFS(Lauantai!D:D,D17,Lauantai!H:H,Lauantai!H$106)</f>
        <v>2</v>
      </c>
      <c r="P17" s="33">
        <f>O17/$G17</f>
        <v>0.22222222222222221</v>
      </c>
      <c r="Q17" s="13">
        <f>SUMIF(Perjantai!D:D,Turnaus!D17,Perjantai!F:F)+SUMIF(Lauantai!D:D,Turnaus!D17,Lauantai!F:F)</f>
        <v>351</v>
      </c>
      <c r="R17" s="12"/>
      <c r="T17" s="12"/>
      <c r="V17" s="12"/>
    </row>
    <row r="18" spans="1:22" s="11" customFormat="1" x14ac:dyDescent="0.2">
      <c r="B18" s="19">
        <v>4</v>
      </c>
      <c r="C18" s="20">
        <v>2</v>
      </c>
      <c r="D18" s="11" t="s">
        <v>7</v>
      </c>
      <c r="E18" s="25">
        <f>SUMIF(Perjantai!D:D,Turnaus!D18,Perjantai!H:H)+SUMIF(Lauantai!D:D,Turnaus!D18,Lauantai!H:H)</f>
        <v>3.25</v>
      </c>
      <c r="F18" s="26"/>
      <c r="G18" s="19">
        <f>COUNTIF(Perjantai!D:D,D18)+COUNTIF(Lauantai!D:D,D18)</f>
        <v>5</v>
      </c>
      <c r="H18" s="30"/>
      <c r="I18" s="19">
        <f>COUNTIFS(Perjantai!D:D,D18,Perjantai!C:C,1)+COUNTIFS(Lauantai!D:D,D18,Lauantai!C:C,1)</f>
        <v>1</v>
      </c>
      <c r="J18" s="33">
        <f>I18/$G18</f>
        <v>0.2</v>
      </c>
      <c r="K18" s="19">
        <f>COUNTIFS(Perjantai!D:D,D18,Perjantai!H:H,"&gt;0")+COUNTIFS(Lauantai!D:D,D18,Lauantai!H:H,"&gt;0")</f>
        <v>5</v>
      </c>
      <c r="L18" s="33">
        <f>K18/$G18</f>
        <v>1</v>
      </c>
      <c r="M18" s="19">
        <f>COUNTIFS(Perjantai!D:D,D18,Perjantai!H:H,"&lt;0")+COUNTIFS(Lauantai!D:D,D18,Lauantai!H:H,"&lt;0")</f>
        <v>0</v>
      </c>
      <c r="N18" s="33">
        <f>M18/$G18</f>
        <v>0</v>
      </c>
      <c r="O18" s="36">
        <f>COUNTIFS(Perjantai!D:D,D18,Perjantai!H:H,Pisteytys!D$7)+COUNTIFS(Lauantai!D:D,D18,Lauantai!H:H,Pisteytys!B$5)+COUNTIFS(Lauantai!D:D,D18,Lauantai!H:H,Pisteytys!C$6)+COUNTIFS(Lauantai!D:D,D18,Lauantai!H:H,Pisteytys!D$7)+COUNTIFS(Lauantai!D:D,D18,Lauantai!H:H,Pisteytys!E$8)+COUNTIFS(Lauantai!D:D,D18,Lauantai!H:H,Lauantai!H$106)</f>
        <v>0</v>
      </c>
      <c r="P18" s="33">
        <f>O18/$G18</f>
        <v>0</v>
      </c>
      <c r="Q18" s="13">
        <f>SUMIF(Perjantai!D:D,Turnaus!D18,Perjantai!F:F)+SUMIF(Lauantai!D:D,Turnaus!D18,Lauantai!F:F)</f>
        <v>269</v>
      </c>
      <c r="R18" s="12"/>
      <c r="T18" s="12"/>
      <c r="V18" s="12"/>
    </row>
    <row r="19" spans="1:22" s="11" customFormat="1" x14ac:dyDescent="0.2">
      <c r="B19" s="19">
        <v>5</v>
      </c>
      <c r="C19" s="20">
        <v>4</v>
      </c>
      <c r="D19" s="11" t="s">
        <v>4</v>
      </c>
      <c r="E19" s="25">
        <f>SUMIF(Perjantai!D:D,Turnaus!D19,Perjantai!H:H)+SUMIF(Lauantai!D:D,Turnaus!D19,Lauantai!H:H)</f>
        <v>-6.9047619047617914E-2</v>
      </c>
      <c r="F19" s="26">
        <f>SUMIF(Lauantai!D:D,Turnaus!D19,Lauantai!H:H)</f>
        <v>-6.3190476190476179</v>
      </c>
      <c r="G19" s="19">
        <f>COUNTIF(Perjantai!D:D,D19)+COUNTIF(Lauantai!D:D,D19)</f>
        <v>15</v>
      </c>
      <c r="H19" s="30">
        <f>COUNTIF(Lauantai!D:D,D19)</f>
        <v>10</v>
      </c>
      <c r="I19" s="19">
        <f>COUNTIFS(Perjantai!D:D,D19,Perjantai!C:C,1)+COUNTIFS(Lauantai!D:D,D19,Lauantai!C:C,1)</f>
        <v>4</v>
      </c>
      <c r="J19" s="33">
        <f>I19/$G19</f>
        <v>0.26666666666666666</v>
      </c>
      <c r="K19" s="19">
        <f>COUNTIFS(Perjantai!D:D,D19,Perjantai!H:H,"&gt;0")+COUNTIFS(Lauantai!D:D,D19,Lauantai!H:H,"&gt;0")</f>
        <v>7</v>
      </c>
      <c r="L19" s="33">
        <f>K19/$G19</f>
        <v>0.46666666666666667</v>
      </c>
      <c r="M19" s="19">
        <f>COUNTIFS(Perjantai!D:D,D19,Perjantai!H:H,"&lt;0")+COUNTIFS(Lauantai!D:D,D19,Lauantai!H:H,"&lt;0")</f>
        <v>8</v>
      </c>
      <c r="N19" s="33">
        <f>M19/$G19</f>
        <v>0.53333333333333333</v>
      </c>
      <c r="O19" s="36">
        <f>COUNTIFS(Perjantai!D:D,D19,Perjantai!H:H,Pisteytys!D$7)+COUNTIFS(Lauantai!D:D,D19,Lauantai!H:H,Pisteytys!B$5)+COUNTIFS(Lauantai!D:D,D19,Lauantai!H:H,Pisteytys!C$6)+COUNTIFS(Lauantai!D:D,D19,Lauantai!H:H,Pisteytys!D$7)+COUNTIFS(Lauantai!D:D,D19,Lauantai!H:H,Pisteytys!E$8)+COUNTIFS(Lauantai!D:D,D19,Lauantai!H:H,Lauantai!H$106)</f>
        <v>5</v>
      </c>
      <c r="P19" s="33">
        <f>O19/$G19</f>
        <v>0.33333333333333331</v>
      </c>
      <c r="Q19" s="13">
        <f>SUMIF(Perjantai!D:D,Turnaus!D19,Perjantai!F:F)+SUMIF(Lauantai!D:D,Turnaus!D19,Lauantai!F:F)</f>
        <v>1143</v>
      </c>
      <c r="R19" s="12"/>
      <c r="T19" s="12"/>
      <c r="V19" s="12"/>
    </row>
    <row r="20" spans="1:22" s="11" customFormat="1" x14ac:dyDescent="0.2">
      <c r="B20" s="19">
        <v>6</v>
      </c>
      <c r="C20" s="20"/>
      <c r="D20" s="11" t="s">
        <v>35</v>
      </c>
      <c r="E20" s="25">
        <f>SUMIF(Perjantai!D:D,Turnaus!D20,Perjantai!H:H)+SUMIF(Lauantai!D:D,Turnaus!D20,Lauantai!H:H)</f>
        <v>-0.15000000000000036</v>
      </c>
      <c r="F20" s="26">
        <f>SUMIF(Lauantai!D:D,Turnaus!D20,Lauantai!H:H)</f>
        <v>-0.15000000000000036</v>
      </c>
      <c r="G20" s="19">
        <f>COUNTIF(Perjantai!D:D,D20)+COUNTIF(Lauantai!D:D,D20)</f>
        <v>5</v>
      </c>
      <c r="H20" s="30">
        <f>COUNTIF(Lauantai!D:D,D20)</f>
        <v>5</v>
      </c>
      <c r="I20" s="19">
        <f>COUNTIFS(Perjantai!D:D,D20,Perjantai!C:C,1)+COUNTIFS(Lauantai!D:D,D20,Lauantai!C:C,1)</f>
        <v>2</v>
      </c>
      <c r="J20" s="33">
        <f>I20/$G20</f>
        <v>0.4</v>
      </c>
      <c r="K20" s="19">
        <f>COUNTIFS(Perjantai!D:D,D20,Perjantai!H:H,"&gt;0")+COUNTIFS(Lauantai!D:D,D20,Lauantai!H:H,"&gt;0")</f>
        <v>2</v>
      </c>
      <c r="L20" s="33">
        <f>K20/$G20</f>
        <v>0.4</v>
      </c>
      <c r="M20" s="19">
        <f>COUNTIFS(Perjantai!D:D,D20,Perjantai!H:H,"&lt;0")+COUNTIFS(Lauantai!D:D,D20,Lauantai!H:H,"&lt;0")</f>
        <v>3</v>
      </c>
      <c r="N20" s="33">
        <f>M20/$G20</f>
        <v>0.6</v>
      </c>
      <c r="O20" s="36">
        <f>COUNTIFS(Perjantai!D:D,D20,Perjantai!H:H,Pisteytys!D$7)+COUNTIFS(Lauantai!D:D,D20,Lauantai!H:H,Pisteytys!B$5)+COUNTIFS(Lauantai!D:D,D20,Lauantai!H:H,Pisteytys!C$6)+COUNTIFS(Lauantai!D:D,D20,Lauantai!H:H,Pisteytys!D$7)+COUNTIFS(Lauantai!D:D,D20,Lauantai!H:H,Pisteytys!E$8)+COUNTIFS(Lauantai!D:D,D20,Lauantai!H:H,Lauantai!H$106)</f>
        <v>2</v>
      </c>
      <c r="P20" s="33">
        <f>O20/$G20</f>
        <v>0.4</v>
      </c>
      <c r="Q20" s="13">
        <f>SUMIF(Perjantai!D:D,Turnaus!D20,Perjantai!F:F)+SUMIF(Lauantai!D:D,Turnaus!D20,Lauantai!F:F)</f>
        <v>184</v>
      </c>
      <c r="R20" s="12"/>
      <c r="T20" s="12"/>
      <c r="V20" s="12"/>
    </row>
    <row r="21" spans="1:22" s="11" customFormat="1" x14ac:dyDescent="0.2">
      <c r="B21" s="19">
        <v>7</v>
      </c>
      <c r="C21" s="20"/>
      <c r="D21" s="11" t="s">
        <v>45</v>
      </c>
      <c r="E21" s="25">
        <f>SUMIF(Perjantai!D:D,Turnaus!D21,Perjantai!H:H)+SUMIF(Lauantai!D:D,Turnaus!D21,Lauantai!H:H)</f>
        <v>-1.9000000000000004</v>
      </c>
      <c r="F21" s="26">
        <f>SUMIF(Lauantai!D:D,Turnaus!D21,Lauantai!H:H)</f>
        <v>-1.9000000000000004</v>
      </c>
      <c r="G21" s="19">
        <f>COUNTIF(Perjantai!D:D,D21)+COUNTIF(Lauantai!D:D,D21)</f>
        <v>5</v>
      </c>
      <c r="H21" s="30">
        <f>COUNTIF(Lauantai!D:D,D21)</f>
        <v>5</v>
      </c>
      <c r="I21" s="19">
        <f>COUNTIFS(Perjantai!D:D,D21,Perjantai!C:C,1)+COUNTIFS(Lauantai!D:D,D21,Lauantai!C:C,1)</f>
        <v>1</v>
      </c>
      <c r="J21" s="33">
        <f>I21/$G21</f>
        <v>0.2</v>
      </c>
      <c r="K21" s="19">
        <f>COUNTIFS(Perjantai!D:D,D21,Perjantai!H:H,"&gt;0")+COUNTIFS(Lauantai!D:D,D21,Lauantai!H:H,"&gt;0")</f>
        <v>1</v>
      </c>
      <c r="L21" s="33">
        <f>K21/$G21</f>
        <v>0.2</v>
      </c>
      <c r="M21" s="19">
        <f>COUNTIFS(Perjantai!D:D,D21,Perjantai!H:H,"&lt;0")+COUNTIFS(Lauantai!D:D,D21,Lauantai!H:H,"&lt;0")</f>
        <v>4</v>
      </c>
      <c r="N21" s="33">
        <f>M21/$G21</f>
        <v>0.8</v>
      </c>
      <c r="O21" s="36">
        <f>COUNTIFS(Perjantai!D:D,D21,Perjantai!H:H,Pisteytys!D$7)+COUNTIFS(Lauantai!D:D,D21,Lauantai!H:H,Pisteytys!B$5)+COUNTIFS(Lauantai!D:D,D21,Lauantai!H:H,Pisteytys!C$6)+COUNTIFS(Lauantai!D:D,D21,Lauantai!H:H,Pisteytys!D$7)+COUNTIFS(Lauantai!D:D,D21,Lauantai!H:H,Pisteytys!E$8)+COUNTIFS(Lauantai!D:D,D21,Lauantai!H:H,Lauantai!H$106)</f>
        <v>2</v>
      </c>
      <c r="P21" s="33">
        <f>O21/$G21</f>
        <v>0.4</v>
      </c>
      <c r="Q21" s="13">
        <f>SUMIF(Perjantai!D:D,Turnaus!D21,Perjantai!F:F)+SUMIF(Lauantai!D:D,Turnaus!D21,Lauantai!F:F)</f>
        <v>596</v>
      </c>
      <c r="R21" s="12"/>
      <c r="T21" s="12"/>
      <c r="V21" s="12"/>
    </row>
    <row r="22" spans="1:22" s="11" customFormat="1" x14ac:dyDescent="0.2">
      <c r="B22" s="19">
        <v>8</v>
      </c>
      <c r="C22" s="20">
        <v>-2</v>
      </c>
      <c r="D22" s="11" t="s">
        <v>5</v>
      </c>
      <c r="E22" s="25">
        <f>SUMIF(Perjantai!D:D,Turnaus!D22,Perjantai!H:H)+SUMIF(Lauantai!D:D,Turnaus!D22,Lauantai!H:H)</f>
        <v>-2.4357142857142859</v>
      </c>
      <c r="F22" s="26">
        <f>SUMIF(Lauantai!D:D,Turnaus!D22,Lauantai!H:H)</f>
        <v>-0.68571428571428594</v>
      </c>
      <c r="G22" s="19">
        <f>COUNTIF(Perjantai!D:D,D22)+COUNTIF(Lauantai!D:D,D22)</f>
        <v>14</v>
      </c>
      <c r="H22" s="30">
        <f>COUNTIF(Lauantai!D:D,D22)</f>
        <v>9</v>
      </c>
      <c r="I22" s="19">
        <f>COUNTIFS(Perjantai!D:D,D22,Perjantai!C:C,1)+COUNTIFS(Lauantai!D:D,D22,Lauantai!C:C,1)</f>
        <v>4</v>
      </c>
      <c r="J22" s="33">
        <f>I22/$G22</f>
        <v>0.2857142857142857</v>
      </c>
      <c r="K22" s="19">
        <f>COUNTIFS(Perjantai!D:D,D22,Perjantai!H:H,"&gt;0")+COUNTIFS(Lauantai!D:D,D22,Lauantai!H:H,"&gt;0")</f>
        <v>4</v>
      </c>
      <c r="L22" s="33">
        <f>K22/$G22</f>
        <v>0.2857142857142857</v>
      </c>
      <c r="M22" s="19">
        <f>COUNTIFS(Perjantai!D:D,D22,Perjantai!H:H,"&lt;0")+COUNTIFS(Lauantai!D:D,D22,Lauantai!H:H,"&lt;0")</f>
        <v>10</v>
      </c>
      <c r="N22" s="33">
        <f>M22/$G22</f>
        <v>0.7142857142857143</v>
      </c>
      <c r="O22" s="36">
        <f>COUNTIFS(Perjantai!D:D,D22,Perjantai!H:H,Pisteytys!D$7)+COUNTIFS(Lauantai!D:D,D22,Lauantai!H:H,Pisteytys!B$5)+COUNTIFS(Lauantai!D:D,D22,Lauantai!H:H,Pisteytys!C$6)+COUNTIFS(Lauantai!D:D,D22,Lauantai!H:H,Pisteytys!D$7)+COUNTIFS(Lauantai!D:D,D22,Lauantai!H:H,Pisteytys!E$8)+COUNTIFS(Lauantai!D:D,D22,Lauantai!H:H,Lauantai!H$106)</f>
        <v>4</v>
      </c>
      <c r="P22" s="33">
        <f>O22/$G22</f>
        <v>0.2857142857142857</v>
      </c>
      <c r="Q22" s="13">
        <f>SUMIF(Perjantai!D:D,Turnaus!D22,Perjantai!F:F)+SUMIF(Lauantai!D:D,Turnaus!D22,Lauantai!F:F)</f>
        <v>726</v>
      </c>
      <c r="R22" s="12"/>
      <c r="T22" s="12"/>
      <c r="V22" s="12"/>
    </row>
    <row r="23" spans="1:22" s="11" customFormat="1" x14ac:dyDescent="0.2">
      <c r="B23" s="19">
        <v>9</v>
      </c>
      <c r="C23" s="20"/>
      <c r="D23" s="11" t="s">
        <v>36</v>
      </c>
      <c r="E23" s="25">
        <f>SUMIF(Perjantai!D:D,Turnaus!D23,Perjantai!H:H)+SUMIF(Lauantai!D:D,Turnaus!D23,Lauantai!H:H)</f>
        <v>-3.3500000000000005</v>
      </c>
      <c r="F23" s="26">
        <f>SUMIF(Lauantai!D:D,Turnaus!D23,Lauantai!H:H)</f>
        <v>-3.3500000000000005</v>
      </c>
      <c r="G23" s="19">
        <f>COUNTIF(Perjantai!D:D,D23)+COUNTIF(Lauantai!D:D,D23)</f>
        <v>6</v>
      </c>
      <c r="H23" s="30">
        <f>COUNTIF(Lauantai!D:D,D23)</f>
        <v>6</v>
      </c>
      <c r="I23" s="19">
        <f>COUNTIFS(Perjantai!D:D,D23,Perjantai!C:C,1)+COUNTIFS(Lauantai!D:D,D23,Lauantai!C:C,1)</f>
        <v>1</v>
      </c>
      <c r="J23" s="33">
        <f>I23/$G23</f>
        <v>0.16666666666666666</v>
      </c>
      <c r="K23" s="19">
        <f>COUNTIFS(Perjantai!D:D,D23,Perjantai!H:H,"&gt;0")+COUNTIFS(Lauantai!D:D,D23,Lauantai!H:H,"&gt;0")</f>
        <v>2</v>
      </c>
      <c r="L23" s="33">
        <f>K23/$G23</f>
        <v>0.33333333333333331</v>
      </c>
      <c r="M23" s="19">
        <f>COUNTIFS(Perjantai!D:D,D23,Perjantai!H:H,"&lt;0")+COUNTIFS(Lauantai!D:D,D23,Lauantai!H:H,"&lt;0")</f>
        <v>4</v>
      </c>
      <c r="N23" s="33">
        <f>M23/$G23</f>
        <v>0.66666666666666663</v>
      </c>
      <c r="O23" s="36">
        <f>COUNTIFS(Perjantai!D:D,D23,Perjantai!H:H,Pisteytys!D$7)+COUNTIFS(Lauantai!D:D,D23,Lauantai!H:H,Pisteytys!B$5)+COUNTIFS(Lauantai!D:D,D23,Lauantai!H:H,Pisteytys!C$6)+COUNTIFS(Lauantai!D:D,D23,Lauantai!H:H,Pisteytys!D$7)+COUNTIFS(Lauantai!D:D,D23,Lauantai!H:H,Pisteytys!E$8)+COUNTIFS(Lauantai!D:D,D23,Lauantai!H:H,Lauantai!H$106)</f>
        <v>2</v>
      </c>
      <c r="P23" s="33">
        <f>O23/$G23</f>
        <v>0.33333333333333331</v>
      </c>
      <c r="Q23" s="13">
        <f>SUMIF(Perjantai!D:D,Turnaus!D23,Perjantai!F:F)+SUMIF(Lauantai!D:D,Turnaus!D23,Lauantai!F:F)</f>
        <v>226</v>
      </c>
      <c r="R23" s="12"/>
      <c r="T23" s="12"/>
      <c r="V23" s="12"/>
    </row>
    <row r="24" spans="1:22" s="11" customFormat="1" x14ac:dyDescent="0.2">
      <c r="B24" s="19">
        <v>10</v>
      </c>
      <c r="C24" s="20"/>
      <c r="D24" s="11" t="s">
        <v>30</v>
      </c>
      <c r="E24" s="25">
        <f>SUMIF(Perjantai!D:D,Turnaus!D24,Perjantai!H:H)+SUMIF(Lauantai!D:D,Turnaus!D24,Lauantai!H:H)</f>
        <v>-4.519047619047619</v>
      </c>
      <c r="F24" s="26">
        <f>SUMIF(Lauantai!D:D,Turnaus!D24,Lauantai!H:H)</f>
        <v>-4.519047619047619</v>
      </c>
      <c r="G24" s="19">
        <f>COUNTIF(Perjantai!D:D,D24)+COUNTIF(Lauantai!D:D,D24)</f>
        <v>11</v>
      </c>
      <c r="H24" s="30">
        <f>COUNTIF(Lauantai!D:D,D24)</f>
        <v>11</v>
      </c>
      <c r="I24" s="19">
        <f>COUNTIFS(Perjantai!D:D,D24,Perjantai!C:C,1)+COUNTIFS(Lauantai!D:D,D24,Lauantai!C:C,1)</f>
        <v>2</v>
      </c>
      <c r="J24" s="33">
        <f>I24/$G24</f>
        <v>0.18181818181818182</v>
      </c>
      <c r="K24" s="19">
        <f>COUNTIFS(Perjantai!D:D,D24,Perjantai!H:H,"&gt;0")+COUNTIFS(Lauantai!D:D,D24,Lauantai!H:H,"&gt;0")</f>
        <v>5</v>
      </c>
      <c r="L24" s="33">
        <f>K24/$G24</f>
        <v>0.45454545454545453</v>
      </c>
      <c r="M24" s="19">
        <f>COUNTIFS(Perjantai!D:D,D24,Perjantai!H:H,"&lt;0")+COUNTIFS(Lauantai!D:D,D24,Lauantai!H:H,"&lt;0")</f>
        <v>6</v>
      </c>
      <c r="N24" s="33">
        <f>M24/$G24</f>
        <v>0.54545454545454541</v>
      </c>
      <c r="O24" s="36">
        <f>COUNTIFS(Perjantai!D:D,D24,Perjantai!H:H,Pisteytys!D$7)+COUNTIFS(Lauantai!D:D,D24,Lauantai!H:H,Pisteytys!B$5)+COUNTIFS(Lauantai!D:D,D24,Lauantai!H:H,Pisteytys!C$6)+COUNTIFS(Lauantai!D:D,D24,Lauantai!H:H,Pisteytys!D$7)+COUNTIFS(Lauantai!D:D,D24,Lauantai!H:H,Pisteytys!E$8)+COUNTIFS(Lauantai!D:D,D24,Lauantai!H:H,Lauantai!H$106)</f>
        <v>5</v>
      </c>
      <c r="P24" s="33">
        <f>O24/$G24</f>
        <v>0.45454545454545453</v>
      </c>
      <c r="Q24" s="13">
        <f>SUMIF(Perjantai!D:D,Turnaus!D24,Perjantai!F:F)+SUMIF(Lauantai!D:D,Turnaus!D24,Lauantai!F:F)</f>
        <v>723</v>
      </c>
      <c r="R24" s="12"/>
      <c r="T24" s="12"/>
      <c r="V24" s="12"/>
    </row>
    <row r="25" spans="1:22" s="14" customFormat="1" x14ac:dyDescent="0.2">
      <c r="B25" s="21">
        <v>11</v>
      </c>
      <c r="C25" s="22">
        <v>0</v>
      </c>
      <c r="D25" s="14" t="s">
        <v>6</v>
      </c>
      <c r="E25" s="27">
        <f>SUMIF(Perjantai!D:D,Turnaus!D25,Perjantai!H:H)+SUMIF(Lauantai!D:D,Turnaus!D25,Lauantai!H:H)</f>
        <v>-10.735714285714286</v>
      </c>
      <c r="F25" s="28">
        <f>SUMIF(Lauantai!D:D,Turnaus!D25,Lauantai!H:H)</f>
        <v>-2.9857142857142853</v>
      </c>
      <c r="G25" s="21">
        <f>COUNTIF(Perjantai!D:D,D25)+COUNTIF(Lauantai!D:D,D25)</f>
        <v>14</v>
      </c>
      <c r="H25" s="31">
        <f>COUNTIF(Lauantai!D:D,D25)</f>
        <v>9</v>
      </c>
      <c r="I25" s="21">
        <f>COUNTIFS(Perjantai!D:D,D25,Perjantai!C:C,1)+COUNTIFS(Lauantai!D:D,D25,Lauantai!C:C,1)</f>
        <v>2</v>
      </c>
      <c r="J25" s="34">
        <f>I25/$G25</f>
        <v>0.14285714285714285</v>
      </c>
      <c r="K25" s="21">
        <f>COUNTIFS(Perjantai!D:D,D25,Perjantai!H:H,"&gt;0")+COUNTIFS(Lauantai!D:D,D25,Lauantai!H:H,"&gt;0")</f>
        <v>3</v>
      </c>
      <c r="L25" s="34">
        <f>K25/$G25</f>
        <v>0.21428571428571427</v>
      </c>
      <c r="M25" s="21">
        <f>COUNTIFS(Perjantai!D:D,D25,Perjantai!H:H,"&lt;0")+COUNTIFS(Lauantai!D:D,D25,Lauantai!H:H,"&lt;0")</f>
        <v>11</v>
      </c>
      <c r="N25" s="34">
        <f>M25/$G25</f>
        <v>0.7857142857142857</v>
      </c>
      <c r="O25" s="37">
        <f>COUNTIFS(Perjantai!D:D,D25,Perjantai!H:H,Pisteytys!D$7)+COUNTIFS(Lauantai!D:D,D25,Lauantai!H:H,Pisteytys!B$5)+COUNTIFS(Lauantai!D:D,D25,Lauantai!H:H,Pisteytys!C$6)+COUNTIFS(Lauantai!D:D,D25,Lauantai!H:H,Pisteytys!D$7)+COUNTIFS(Lauantai!D:D,D25,Lauantai!H:H,Pisteytys!E$8)+COUNTIFS(Lauantai!D:D,D25,Lauantai!H:H,Lauantai!H$106)</f>
        <v>8</v>
      </c>
      <c r="P25" s="34">
        <f>O25/$G25</f>
        <v>0.5714285714285714</v>
      </c>
      <c r="Q25" s="16">
        <f>SUMIF(Perjantai!D:D,Turnaus!D25,Perjantai!F:F)+SUMIF(Lauantai!D:D,Turnaus!D25,Lauantai!F:F)</f>
        <v>913</v>
      </c>
      <c r="R25" s="15"/>
      <c r="T25" s="15"/>
      <c r="V25" s="15"/>
    </row>
    <row r="27" spans="1:22" s="8" customFormat="1" x14ac:dyDescent="0.2">
      <c r="A27" s="7" t="s">
        <v>87</v>
      </c>
      <c r="B27" s="17">
        <v>1</v>
      </c>
      <c r="C27" s="18">
        <v>0</v>
      </c>
      <c r="D27" s="8" t="s">
        <v>32</v>
      </c>
      <c r="E27" s="23">
        <f>SUMIF(Perjantai!D:D,Turnaus!D27,Perjantai!H:H)+SUMIF(Lauantai!D:D,Turnaus!D27,Lauantai!H:H)+SUMIF(Sunnuntai!D:D,Turnaus!D27,Sunnuntai!H:H)</f>
        <v>11.53095238095238</v>
      </c>
      <c r="F27" s="24">
        <f>SUMIF(Sunnuntai!D:D,Turnaus!D27,Sunnuntai!H:H)</f>
        <v>-0.66666666666666652</v>
      </c>
      <c r="G27" s="17">
        <f>COUNTIF(Perjantai!D:D,D27)+COUNTIF(Lauantai!D:D,D27)+COUNTIF(Sunnuntai!D:D,D27)</f>
        <v>11</v>
      </c>
      <c r="H27" s="29">
        <f>COUNTIF(Sunnuntai!D:D,D27)</f>
        <v>1</v>
      </c>
      <c r="I27" s="17">
        <f>COUNTIFS(Perjantai!D:D,D27,Perjantai!C:C,1)+COUNTIFS(Lauantai!D:D,D27,Lauantai!C:C,1)+COUNTIFS(Sunnuntai!D:D,D27,Sunnuntai!C:C,1)</f>
        <v>6</v>
      </c>
      <c r="J27" s="32">
        <f>I27/$G27</f>
        <v>0.54545454545454541</v>
      </c>
      <c r="K27" s="17">
        <f>COUNTIFS(Perjantai!D:D,D27,Perjantai!H:H,"&gt;0")+COUNTIFS(Lauantai!D:D,D27,Lauantai!H:H,"&gt;0")+COUNTIFS(Sunnuntai!D:D,D27,Sunnuntai!H:H,"&gt;0")</f>
        <v>8</v>
      </c>
      <c r="L27" s="32">
        <f>K27/$G27</f>
        <v>0.72727272727272729</v>
      </c>
      <c r="M27" s="17">
        <f>COUNTIFS(Perjantai!D:D,D27,Perjantai!H:H,"&lt;0")+COUNTIFS(Lauantai!D:D,D27,Lauantai!H:H,"&lt;0")+COUNTIFS(Sunnuntai!D:D,D27,Sunnuntai!H:H,"&lt;0")</f>
        <v>3</v>
      </c>
      <c r="N27" s="32">
        <f>M27/$G27</f>
        <v>0.27272727272727271</v>
      </c>
      <c r="O27" s="35">
        <f>COUNTIFS(Perjantai!D:D,D27,Perjantai!H:H,Pisteytys!D$7)+COUNTIFS(Lauantai!D:D,D27,Lauantai!H:H,Pisteytys!B$5)+COUNTIFS(Lauantai!D:D,D27,Lauantai!H:H,Pisteytys!C$6)+COUNTIFS(Lauantai!D:D,D27,Lauantai!H:H,Pisteytys!D$7)+COUNTIFS(Lauantai!D:D,D27,Lauantai!H:H,Pisteytys!E$8)+COUNTIFS(Lauantai!D:D,D27,Lauantai!H:H,Lauantai!H$106)+COUNTIFS(Sunnuntai!D:D,D27,Sunnuntai!H:H,Pisteytys!D$7)+COUNTIFS(Sunnuntai!D:D,D27,Sunnuntai!H:H,Pisteytys!F$9)</f>
        <v>1</v>
      </c>
      <c r="P27" s="32">
        <f>O27/$G27</f>
        <v>9.0909090909090912E-2</v>
      </c>
      <c r="Q27" s="10">
        <f>SUMIF(Perjantai!D:D,Turnaus!D27,Perjantai!F:F)+SUMIF(Lauantai!D:D,Turnaus!D27,Lauantai!F:F)+SUMIF(Sunnuntai!D:D,Turnaus!D27,Sunnuntai!F:F)</f>
        <v>578</v>
      </c>
      <c r="R27" s="9"/>
      <c r="T27" s="9"/>
      <c r="V27" s="9"/>
    </row>
    <row r="28" spans="1:22" s="11" customFormat="1" x14ac:dyDescent="0.2">
      <c r="A28" s="11" t="s">
        <v>85</v>
      </c>
      <c r="B28" s="19">
        <v>2</v>
      </c>
      <c r="C28" s="20">
        <v>0</v>
      </c>
      <c r="D28" s="11" t="s">
        <v>33</v>
      </c>
      <c r="E28" s="25">
        <f>SUMIF(Perjantai!D:D,Turnaus!D28,Perjantai!H:H)+SUMIF(Lauantai!D:D,Turnaus!D28,Lauantai!H:H)+SUMIF(Sunnuntai!D:D,Turnaus!D28,Sunnuntai!H:H)</f>
        <v>8.980952380952381</v>
      </c>
      <c r="F28" s="26">
        <f>SUMIF(Sunnuntai!D:D,Turnaus!D28,Sunnuntai!H:H)</f>
        <v>3.3333333333333335</v>
      </c>
      <c r="G28" s="19">
        <f>COUNTIF(Perjantai!D:D,D28)+COUNTIF(Lauantai!D:D,D28)+COUNTIF(Sunnuntai!D:D,D28)</f>
        <v>11</v>
      </c>
      <c r="H28" s="30">
        <f>COUNTIF(Sunnuntai!D:D,D28)</f>
        <v>1</v>
      </c>
      <c r="I28" s="19">
        <f>COUNTIFS(Perjantai!D:D,D28,Perjantai!C:C,1)+COUNTIFS(Lauantai!D:D,D28,Lauantai!C:C,1)+COUNTIFS(Sunnuntai!D:D,D28,Sunnuntai!C:C,1)</f>
        <v>4</v>
      </c>
      <c r="J28" s="33">
        <f>I28/$G28</f>
        <v>0.36363636363636365</v>
      </c>
      <c r="K28" s="19">
        <f>COUNTIFS(Perjantai!D:D,D28,Perjantai!H:H,"&gt;0")+COUNTIFS(Lauantai!D:D,D28,Lauantai!H:H,"&gt;0")+COUNTIFS(Sunnuntai!D:D,D28,Sunnuntai!H:H,"&gt;0")</f>
        <v>8</v>
      </c>
      <c r="L28" s="33">
        <f>K28/$G28</f>
        <v>0.72727272727272729</v>
      </c>
      <c r="M28" s="19">
        <f>COUNTIFS(Perjantai!D:D,D28,Perjantai!H:H,"&lt;0")+COUNTIFS(Lauantai!D:D,D28,Lauantai!H:H,"&lt;0")+COUNTIFS(Sunnuntai!D:D,D28,Sunnuntai!H:H,"&lt;0")</f>
        <v>3</v>
      </c>
      <c r="N28" s="33">
        <f>M28/$G28</f>
        <v>0.27272727272727271</v>
      </c>
      <c r="O28" s="36">
        <f>COUNTIFS(Perjantai!D:D,D28,Perjantai!H:H,Pisteytys!D$7)+COUNTIFS(Lauantai!D:D,D28,Lauantai!H:H,Pisteytys!B$5)+COUNTIFS(Lauantai!D:D,D28,Lauantai!H:H,Pisteytys!C$6)+COUNTIFS(Lauantai!D:D,D28,Lauantai!H:H,Pisteytys!D$7)+COUNTIFS(Lauantai!D:D,D28,Lauantai!H:H,Pisteytys!E$8)+COUNTIFS(Lauantai!D:D,D28,Lauantai!H:H,Lauantai!H$106)+COUNTIFS(Sunnuntai!D:D,D28,Sunnuntai!H:H,Pisteytys!D$7)+COUNTIFS(Sunnuntai!D:D,D28,Sunnuntai!H:H,Pisteytys!F$9)</f>
        <v>1</v>
      </c>
      <c r="P28" s="33">
        <f>O28/$G28</f>
        <v>9.0909090909090912E-2</v>
      </c>
      <c r="Q28" s="13">
        <f>SUMIF(Perjantai!D:D,Turnaus!D28,Perjantai!F:F)+SUMIF(Lauantai!D:D,Turnaus!D28,Lauantai!F:F)+SUMIF(Sunnuntai!D:D,Turnaus!D28,Sunnuntai!F:F)</f>
        <v>568</v>
      </c>
      <c r="R28" s="12"/>
      <c r="T28" s="12"/>
      <c r="V28" s="12"/>
    </row>
    <row r="29" spans="1:22" s="11" customFormat="1" x14ac:dyDescent="0.2">
      <c r="B29" s="19">
        <v>3</v>
      </c>
      <c r="C29" s="20">
        <v>0</v>
      </c>
      <c r="D29" s="11" t="s">
        <v>46</v>
      </c>
      <c r="E29" s="25">
        <f>SUMIF(Perjantai!D:D,Turnaus!D29,Perjantai!H:H)+SUMIF(Lauantai!D:D,Turnaus!D29,Lauantai!H:H)+SUMIF(Sunnuntai!D:D,Turnaus!D29,Sunnuntai!H:H)</f>
        <v>0.39761904761904709</v>
      </c>
      <c r="F29" s="26">
        <f>SUMIF(Sunnuntai!D:D,Turnaus!D29,Sunnuntai!H:H)</f>
        <v>-1.6666666666666665</v>
      </c>
      <c r="G29" s="19">
        <f>COUNTIF(Perjantai!D:D,D29)+COUNTIF(Lauantai!D:D,D29)+COUNTIF(Sunnuntai!D:D,D29)</f>
        <v>10</v>
      </c>
      <c r="H29" s="30">
        <f>COUNTIF(Sunnuntai!D:D,D29)</f>
        <v>1</v>
      </c>
      <c r="I29" s="19">
        <f>COUNTIFS(Perjantai!D:D,D29,Perjantai!C:C,1)+COUNTIFS(Lauantai!D:D,D29,Lauantai!C:C,1)+COUNTIFS(Sunnuntai!D:D,D29,Sunnuntai!C:C,1)</f>
        <v>4</v>
      </c>
      <c r="J29" s="33">
        <f>I29/$G29</f>
        <v>0.4</v>
      </c>
      <c r="K29" s="19">
        <f>COUNTIFS(Perjantai!D:D,D29,Perjantai!H:H,"&gt;0")+COUNTIFS(Lauantai!D:D,D29,Lauantai!H:H,"&gt;0")+COUNTIFS(Sunnuntai!D:D,D29,Sunnuntai!H:H,"&gt;0")</f>
        <v>4</v>
      </c>
      <c r="L29" s="33">
        <f>K29/$G29</f>
        <v>0.4</v>
      </c>
      <c r="M29" s="19">
        <f>COUNTIFS(Perjantai!D:D,D29,Perjantai!H:H,"&lt;0")+COUNTIFS(Lauantai!D:D,D29,Lauantai!H:H,"&lt;0")+COUNTIFS(Sunnuntai!D:D,D29,Sunnuntai!H:H,"&lt;0")</f>
        <v>6</v>
      </c>
      <c r="N29" s="33">
        <f>M29/$G29</f>
        <v>0.6</v>
      </c>
      <c r="O29" s="36">
        <f>COUNTIFS(Perjantai!D:D,D29,Perjantai!H:H,Pisteytys!D$7)+COUNTIFS(Lauantai!D:D,D29,Lauantai!H:H,Pisteytys!B$5)+COUNTIFS(Lauantai!D:D,D29,Lauantai!H:H,Pisteytys!C$6)+COUNTIFS(Lauantai!D:D,D29,Lauantai!H:H,Pisteytys!D$7)+COUNTIFS(Lauantai!D:D,D29,Lauantai!H:H,Pisteytys!E$8)+COUNTIFS(Lauantai!D:D,D29,Lauantai!H:H,Lauantai!H$106)+COUNTIFS(Sunnuntai!D:D,D29,Sunnuntai!H:H,Pisteytys!D$7)+COUNTIFS(Sunnuntai!D:D,D29,Sunnuntai!H:H,Pisteytys!F$9)</f>
        <v>2</v>
      </c>
      <c r="P29" s="33">
        <f>O29/$G29</f>
        <v>0.2</v>
      </c>
      <c r="Q29" s="13">
        <f>SUMIF(Perjantai!D:D,Turnaus!D29,Perjantai!F:F)+SUMIF(Lauantai!D:D,Turnaus!D29,Lauantai!F:F)+SUMIF(Sunnuntai!D:D,Turnaus!D29,Sunnuntai!F:F)</f>
        <v>420</v>
      </c>
      <c r="R29" s="12"/>
      <c r="T29" s="12"/>
      <c r="V29" s="12"/>
    </row>
    <row r="30" spans="1:22" s="11" customFormat="1" x14ac:dyDescent="0.2">
      <c r="B30" s="19">
        <v>4</v>
      </c>
      <c r="C30" s="20">
        <v>0</v>
      </c>
      <c r="D30" s="11" t="s">
        <v>7</v>
      </c>
      <c r="E30" s="25">
        <f>SUMIF(Perjantai!D:D,Turnaus!D30,Perjantai!H:H)+SUMIF(Lauantai!D:D,Turnaus!D30,Lauantai!H:H)+SUMIF(Sunnuntai!D:D,Turnaus!D30,Sunnuntai!H:H)</f>
        <v>3.25</v>
      </c>
      <c r="F30" s="26"/>
      <c r="G30" s="19">
        <f>COUNTIF(Perjantai!D:D,D30)+COUNTIF(Lauantai!D:D,D30)+COUNTIF(Sunnuntai!D:D,D30)</f>
        <v>5</v>
      </c>
      <c r="H30" s="30"/>
      <c r="I30" s="19">
        <f>COUNTIFS(Perjantai!D:D,D30,Perjantai!C:C,1)+COUNTIFS(Lauantai!D:D,D30,Lauantai!C:C,1)+COUNTIFS(Sunnuntai!D:D,D30,Sunnuntai!C:C,1)</f>
        <v>1</v>
      </c>
      <c r="J30" s="33">
        <f>I30/$G30</f>
        <v>0.2</v>
      </c>
      <c r="K30" s="19">
        <f>COUNTIFS(Perjantai!D:D,D30,Perjantai!H:H,"&gt;0")+COUNTIFS(Lauantai!D:D,D30,Lauantai!H:H,"&gt;0")+COUNTIFS(Sunnuntai!D:D,D30,Sunnuntai!H:H,"&gt;0")</f>
        <v>5</v>
      </c>
      <c r="L30" s="33">
        <f>K30/$G30</f>
        <v>1</v>
      </c>
      <c r="M30" s="19">
        <f>COUNTIFS(Perjantai!D:D,D30,Perjantai!H:H,"&lt;0")+COUNTIFS(Lauantai!D:D,D30,Lauantai!H:H,"&lt;0")+COUNTIFS(Sunnuntai!D:D,D30,Sunnuntai!H:H,"&lt;0")</f>
        <v>0</v>
      </c>
      <c r="N30" s="33">
        <f>M30/$G30</f>
        <v>0</v>
      </c>
      <c r="O30" s="36">
        <f>COUNTIFS(Perjantai!D:D,D30,Perjantai!H:H,Pisteytys!D$7)+COUNTIFS(Lauantai!D:D,D30,Lauantai!H:H,Pisteytys!B$5)+COUNTIFS(Lauantai!D:D,D30,Lauantai!H:H,Pisteytys!C$6)+COUNTIFS(Lauantai!D:D,D30,Lauantai!H:H,Pisteytys!D$7)+COUNTIFS(Lauantai!D:D,D30,Lauantai!H:H,Pisteytys!E$8)+COUNTIFS(Lauantai!D:D,D30,Lauantai!H:H,Lauantai!H$106)+COUNTIFS(Sunnuntai!D:D,D30,Sunnuntai!H:H,Pisteytys!D$7)+COUNTIFS(Sunnuntai!D:D,D30,Sunnuntai!H:H,Pisteytys!F$9)</f>
        <v>0</v>
      </c>
      <c r="P30" s="33">
        <f>O30/$G30</f>
        <v>0</v>
      </c>
      <c r="Q30" s="13">
        <f>SUMIF(Perjantai!D:D,Turnaus!D30,Perjantai!F:F)+SUMIF(Lauantai!D:D,Turnaus!D30,Lauantai!F:F)+SUMIF(Sunnuntai!D:D,Turnaus!D30,Sunnuntai!F:F)</f>
        <v>269</v>
      </c>
      <c r="R30" s="12"/>
      <c r="T30" s="12"/>
      <c r="V30" s="12"/>
    </row>
    <row r="31" spans="1:22" s="11" customFormat="1" x14ac:dyDescent="0.2">
      <c r="B31" s="19">
        <v>5</v>
      </c>
      <c r="C31" s="20">
        <v>-1</v>
      </c>
      <c r="D31" s="11" t="s">
        <v>35</v>
      </c>
      <c r="E31" s="25">
        <f>SUMIF(Perjantai!D:D,Turnaus!D31,Perjantai!H:H)+SUMIF(Lauantai!D:D,Turnaus!D31,Lauantai!H:H)+SUMIF(Sunnuntai!D:D,Turnaus!D31,Sunnuntai!H:H)</f>
        <v>-0.15000000000000036</v>
      </c>
      <c r="F31" s="26"/>
      <c r="G31" s="19">
        <f>COUNTIF(Perjantai!D:D,D31)+COUNTIF(Lauantai!D:D,D31)+COUNTIF(Sunnuntai!D:D,D31)</f>
        <v>5</v>
      </c>
      <c r="H31" s="30"/>
      <c r="I31" s="19">
        <f>COUNTIFS(Perjantai!D:D,D31,Perjantai!C:C,1)+COUNTIFS(Lauantai!D:D,D31,Lauantai!C:C,1)+COUNTIFS(Sunnuntai!D:D,D31,Sunnuntai!C:C,1)</f>
        <v>2</v>
      </c>
      <c r="J31" s="33">
        <f>I31/$G31</f>
        <v>0.4</v>
      </c>
      <c r="K31" s="19">
        <f>COUNTIFS(Perjantai!D:D,D31,Perjantai!H:H,"&gt;0")+COUNTIFS(Lauantai!D:D,D31,Lauantai!H:H,"&gt;0")+COUNTIFS(Sunnuntai!D:D,D31,Sunnuntai!H:H,"&gt;0")</f>
        <v>2</v>
      </c>
      <c r="L31" s="33">
        <f>K31/$G31</f>
        <v>0.4</v>
      </c>
      <c r="M31" s="19">
        <f>COUNTIFS(Perjantai!D:D,D31,Perjantai!H:H,"&lt;0")+COUNTIFS(Lauantai!D:D,D31,Lauantai!H:H,"&lt;0")+COUNTIFS(Sunnuntai!D:D,D31,Sunnuntai!H:H,"&lt;0")</f>
        <v>3</v>
      </c>
      <c r="N31" s="33">
        <f>M31/$G31</f>
        <v>0.6</v>
      </c>
      <c r="O31" s="36">
        <f>COUNTIFS(Perjantai!D:D,D31,Perjantai!H:H,Pisteytys!D$7)+COUNTIFS(Lauantai!D:D,D31,Lauantai!H:H,Pisteytys!B$5)+COUNTIFS(Lauantai!D:D,D31,Lauantai!H:H,Pisteytys!C$6)+COUNTIFS(Lauantai!D:D,D31,Lauantai!H:H,Pisteytys!D$7)+COUNTIFS(Lauantai!D:D,D31,Lauantai!H:H,Pisteytys!E$8)+COUNTIFS(Lauantai!D:D,D31,Lauantai!H:H,Lauantai!H$106)+COUNTIFS(Sunnuntai!D:D,D31,Sunnuntai!H:H,Pisteytys!D$7)+COUNTIFS(Sunnuntai!D:D,D31,Sunnuntai!H:H,Pisteytys!F$9)</f>
        <v>2</v>
      </c>
      <c r="P31" s="33">
        <f>O31/$G31</f>
        <v>0.4</v>
      </c>
      <c r="Q31" s="13">
        <f>SUMIF(Perjantai!D:D,Turnaus!D31,Perjantai!F:F)+SUMIF(Lauantai!D:D,Turnaus!D31,Lauantai!F:F)+SUMIF(Sunnuntai!D:D,Turnaus!D31,Sunnuntai!F:F)</f>
        <v>184</v>
      </c>
      <c r="R31" s="12"/>
      <c r="T31" s="12"/>
      <c r="V31" s="12"/>
    </row>
    <row r="32" spans="1:22" s="11" customFormat="1" x14ac:dyDescent="0.2">
      <c r="B32" s="19">
        <v>6</v>
      </c>
      <c r="C32" s="20">
        <v>-4</v>
      </c>
      <c r="D32" s="11" t="s">
        <v>30</v>
      </c>
      <c r="E32" s="25">
        <f>SUMIF(Perjantai!D:D,Turnaus!D32,Perjantai!H:H)+SUMIF(Lauantai!D:D,Turnaus!D32,Lauantai!H:H)+SUMIF(Sunnuntai!D:D,Turnaus!D32,Sunnuntai!H:H)</f>
        <v>-0.9357142857142855</v>
      </c>
      <c r="F32" s="26">
        <f>SUMIF(Sunnuntai!D:D,Turnaus!D32,Sunnuntai!H:H)</f>
        <v>3.5833333333333335</v>
      </c>
      <c r="G32" s="19">
        <f>COUNTIF(Perjantai!D:D,D32)+COUNTIF(Lauantai!D:D,D32)+COUNTIF(Sunnuntai!D:D,D32)</f>
        <v>13</v>
      </c>
      <c r="H32" s="30">
        <f>COUNTIF(Sunnuntai!D:D,D32)</f>
        <v>2</v>
      </c>
      <c r="I32" s="19">
        <f>COUNTIFS(Perjantai!D:D,D32,Perjantai!C:C,1)+COUNTIFS(Lauantai!D:D,D32,Lauantai!C:C,1)+COUNTIFS(Sunnuntai!D:D,D32,Sunnuntai!C:C,1)</f>
        <v>3</v>
      </c>
      <c r="J32" s="33">
        <f>I32/$G32</f>
        <v>0.23076923076923078</v>
      </c>
      <c r="K32" s="19">
        <f>COUNTIFS(Perjantai!D:D,D32,Perjantai!H:H,"&gt;0")+COUNTIFS(Lauantai!D:D,D32,Lauantai!H:H,"&gt;0")+COUNTIFS(Sunnuntai!D:D,D32,Sunnuntai!H:H,"&gt;0")</f>
        <v>7</v>
      </c>
      <c r="L32" s="33">
        <f>K32/$G32</f>
        <v>0.53846153846153844</v>
      </c>
      <c r="M32" s="19">
        <f>COUNTIFS(Perjantai!D:D,D32,Perjantai!H:H,"&lt;0")+COUNTIFS(Lauantai!D:D,D32,Lauantai!H:H,"&lt;0")+COUNTIFS(Sunnuntai!D:D,D32,Sunnuntai!H:H,"&lt;0")</f>
        <v>6</v>
      </c>
      <c r="N32" s="33">
        <f>M32/$G32</f>
        <v>0.46153846153846156</v>
      </c>
      <c r="O32" s="36">
        <f>COUNTIFS(Perjantai!D:D,D32,Perjantai!H:H,Pisteytys!D$7)+COUNTIFS(Lauantai!D:D,D32,Lauantai!H:H,Pisteytys!B$5)+COUNTIFS(Lauantai!D:D,D32,Lauantai!H:H,Pisteytys!C$6)+COUNTIFS(Lauantai!D:D,D32,Lauantai!H:H,Pisteytys!D$7)+COUNTIFS(Lauantai!D:D,D32,Lauantai!H:H,Pisteytys!E$8)+COUNTIFS(Lauantai!D:D,D32,Lauantai!H:H,Lauantai!H$106)+COUNTIFS(Sunnuntai!D:D,D32,Sunnuntai!H:H,Pisteytys!D$7)+COUNTIFS(Sunnuntai!D:D,D32,Sunnuntai!H:H,Pisteytys!F$9)</f>
        <v>5</v>
      </c>
      <c r="P32" s="33">
        <f>O32/$G32</f>
        <v>0.38461538461538464</v>
      </c>
      <c r="Q32" s="13">
        <f>SUMIF(Perjantai!D:D,Turnaus!D32,Perjantai!F:F)+SUMIF(Lauantai!D:D,Turnaus!D32,Lauantai!F:F)+SUMIF(Sunnuntai!D:D,Turnaus!D32,Sunnuntai!F:F)</f>
        <v>849</v>
      </c>
      <c r="R32" s="12"/>
      <c r="T32" s="12"/>
      <c r="V32" s="12"/>
    </row>
    <row r="33" spans="2:22" s="11" customFormat="1" x14ac:dyDescent="0.2">
      <c r="B33" s="19">
        <v>7</v>
      </c>
      <c r="C33" s="20">
        <v>2</v>
      </c>
      <c r="D33" s="11" t="s">
        <v>4</v>
      </c>
      <c r="E33" s="25">
        <f>SUMIF(Perjantai!D:D,Turnaus!D33,Perjantai!H:H)+SUMIF(Lauantai!D:D,Turnaus!D33,Lauantai!H:H)+SUMIF(Sunnuntai!D:D,Turnaus!D33,Sunnuntai!H:H)</f>
        <v>-1.4857142857142844</v>
      </c>
      <c r="F33" s="26">
        <f>SUMIF(Sunnuntai!D:D,Turnaus!D33,Sunnuntai!H:H)</f>
        <v>-1.4166666666666665</v>
      </c>
      <c r="G33" s="19">
        <f>COUNTIF(Perjantai!D:D,D33)+COUNTIF(Lauantai!D:D,D33)+COUNTIF(Sunnuntai!D:D,D33)</f>
        <v>17</v>
      </c>
      <c r="H33" s="30">
        <f>COUNTIF(Sunnuntai!D:D,D33)</f>
        <v>2</v>
      </c>
      <c r="I33" s="19">
        <f>COUNTIFS(Perjantai!D:D,D33,Perjantai!C:C,1)+COUNTIFS(Lauantai!D:D,D33,Lauantai!C:C,1)+COUNTIFS(Sunnuntai!D:D,D33,Sunnuntai!C:C,1)</f>
        <v>4</v>
      </c>
      <c r="J33" s="33">
        <f>I33/$G33</f>
        <v>0.23529411764705882</v>
      </c>
      <c r="K33" s="19">
        <f>COUNTIFS(Perjantai!D:D,D33,Perjantai!H:H,"&gt;0")+COUNTIFS(Lauantai!D:D,D33,Lauantai!H:H,"&gt;0")+COUNTIFS(Sunnuntai!D:D,D33,Sunnuntai!H:H,"&gt;0")</f>
        <v>8</v>
      </c>
      <c r="L33" s="33">
        <f>K33/$G33</f>
        <v>0.47058823529411764</v>
      </c>
      <c r="M33" s="19">
        <f>COUNTIFS(Perjantai!D:D,D33,Perjantai!H:H,"&lt;0")+COUNTIFS(Lauantai!D:D,D33,Lauantai!H:H,"&lt;0")+COUNTIFS(Sunnuntai!D:D,D33,Sunnuntai!H:H,"&lt;0")</f>
        <v>9</v>
      </c>
      <c r="N33" s="33">
        <f>M33/$G33</f>
        <v>0.52941176470588236</v>
      </c>
      <c r="O33" s="36">
        <f>COUNTIFS(Perjantai!D:D,D33,Perjantai!H:H,Pisteytys!D$7)+COUNTIFS(Lauantai!D:D,D33,Lauantai!H:H,Pisteytys!B$5)+COUNTIFS(Lauantai!D:D,D33,Lauantai!H:H,Pisteytys!C$6)+COUNTIFS(Lauantai!D:D,D33,Lauantai!H:H,Pisteytys!D$7)+COUNTIFS(Lauantai!D:D,D33,Lauantai!H:H,Pisteytys!E$8)+COUNTIFS(Lauantai!D:D,D33,Lauantai!H:H,Lauantai!H$106)+COUNTIFS(Sunnuntai!D:D,D33,Sunnuntai!H:H,Pisteytys!D$7)+COUNTIFS(Sunnuntai!D:D,D33,Sunnuntai!H:H,Pisteytys!F$9)</f>
        <v>6</v>
      </c>
      <c r="P33" s="33">
        <f>O33/$G33</f>
        <v>0.35294117647058826</v>
      </c>
      <c r="Q33" s="13">
        <f>SUMIF(Perjantai!D:D,Turnaus!D33,Perjantai!F:F)+SUMIF(Lauantai!D:D,Turnaus!D33,Lauantai!F:F)+SUMIF(Sunnuntai!D:D,Turnaus!D33,Sunnuntai!F:F)</f>
        <v>1257</v>
      </c>
      <c r="R33" s="12"/>
      <c r="T33" s="12"/>
      <c r="V33" s="12"/>
    </row>
    <row r="34" spans="2:22" s="11" customFormat="1" x14ac:dyDescent="0.2">
      <c r="B34" s="19">
        <v>8</v>
      </c>
      <c r="C34" s="20">
        <v>1</v>
      </c>
      <c r="D34" s="11" t="s">
        <v>45</v>
      </c>
      <c r="E34" s="25">
        <f>SUMIF(Perjantai!D:D,Turnaus!D34,Perjantai!H:H)+SUMIF(Lauantai!D:D,Turnaus!D34,Lauantai!H:H)+SUMIF(Sunnuntai!D:D,Turnaus!D34,Sunnuntai!H:H)</f>
        <v>-1.9000000000000004</v>
      </c>
      <c r="F34" s="26"/>
      <c r="G34" s="19">
        <f>COUNTIF(Perjantai!D:D,D34)+COUNTIF(Lauantai!D:D,D34)+COUNTIF(Sunnuntai!D:D,D34)</f>
        <v>5</v>
      </c>
      <c r="H34" s="30"/>
      <c r="I34" s="19">
        <f>COUNTIFS(Perjantai!D:D,D34,Perjantai!C:C,1)+COUNTIFS(Lauantai!D:D,D34,Lauantai!C:C,1)+COUNTIFS(Sunnuntai!D:D,D34,Sunnuntai!C:C,1)</f>
        <v>1</v>
      </c>
      <c r="J34" s="33">
        <f>I34/$G34</f>
        <v>0.2</v>
      </c>
      <c r="K34" s="19">
        <f>COUNTIFS(Perjantai!D:D,D34,Perjantai!H:H,"&gt;0")+COUNTIFS(Lauantai!D:D,D34,Lauantai!H:H,"&gt;0")+COUNTIFS(Sunnuntai!D:D,D34,Sunnuntai!H:H,"&gt;0")</f>
        <v>1</v>
      </c>
      <c r="L34" s="33">
        <f>K34/$G34</f>
        <v>0.2</v>
      </c>
      <c r="M34" s="19">
        <f>COUNTIFS(Perjantai!D:D,D34,Perjantai!H:H,"&lt;0")+COUNTIFS(Lauantai!D:D,D34,Lauantai!H:H,"&lt;0")+COUNTIFS(Sunnuntai!D:D,D34,Sunnuntai!H:H,"&lt;0")</f>
        <v>4</v>
      </c>
      <c r="N34" s="33">
        <f>M34/$G34</f>
        <v>0.8</v>
      </c>
      <c r="O34" s="36">
        <f>COUNTIFS(Perjantai!D:D,D34,Perjantai!H:H,Pisteytys!D$7)+COUNTIFS(Lauantai!D:D,D34,Lauantai!H:H,Pisteytys!B$5)+COUNTIFS(Lauantai!D:D,D34,Lauantai!H:H,Pisteytys!C$6)+COUNTIFS(Lauantai!D:D,D34,Lauantai!H:H,Pisteytys!D$7)+COUNTIFS(Lauantai!D:D,D34,Lauantai!H:H,Pisteytys!E$8)+COUNTIFS(Lauantai!D:D,D34,Lauantai!H:H,Lauantai!H$106)+COUNTIFS(Sunnuntai!D:D,D34,Sunnuntai!H:H,Pisteytys!D$7)+COUNTIFS(Sunnuntai!D:D,D34,Sunnuntai!H:H,Pisteytys!F$9)</f>
        <v>2</v>
      </c>
      <c r="P34" s="33">
        <f>O34/$G34</f>
        <v>0.4</v>
      </c>
      <c r="Q34" s="13">
        <f>SUMIF(Perjantai!D:D,Turnaus!D34,Perjantai!F:F)+SUMIF(Lauantai!D:D,Turnaus!D34,Lauantai!F:F)+SUMIF(Sunnuntai!D:D,Turnaus!D34,Sunnuntai!F:F)</f>
        <v>596</v>
      </c>
      <c r="R34" s="12"/>
      <c r="T34" s="12"/>
      <c r="V34" s="12"/>
    </row>
    <row r="35" spans="2:22" s="11" customFormat="1" x14ac:dyDescent="0.2">
      <c r="B35" s="19">
        <v>9</v>
      </c>
      <c r="C35" s="20">
        <v>0</v>
      </c>
      <c r="D35" s="11" t="s">
        <v>36</v>
      </c>
      <c r="E35" s="25">
        <f>SUMIF(Perjantai!D:D,Turnaus!D35,Perjantai!H:H)+SUMIF(Lauantai!D:D,Turnaus!D35,Lauantai!H:H)+SUMIF(Sunnuntai!D:D,Turnaus!D35,Sunnuntai!H:H)</f>
        <v>-3.3500000000000005</v>
      </c>
      <c r="F35" s="26"/>
      <c r="G35" s="19">
        <f>COUNTIF(Perjantai!D:D,D35)+COUNTIF(Lauantai!D:D,D35)+COUNTIF(Sunnuntai!D:D,D35)</f>
        <v>6</v>
      </c>
      <c r="H35" s="30"/>
      <c r="I35" s="19">
        <f>COUNTIFS(Perjantai!D:D,D35,Perjantai!C:C,1)+COUNTIFS(Lauantai!D:D,D35,Lauantai!C:C,1)+COUNTIFS(Sunnuntai!D:D,D35,Sunnuntai!C:C,1)</f>
        <v>1</v>
      </c>
      <c r="J35" s="33">
        <f>I35/$G35</f>
        <v>0.16666666666666666</v>
      </c>
      <c r="K35" s="19">
        <f>COUNTIFS(Perjantai!D:D,D35,Perjantai!H:H,"&gt;0")+COUNTIFS(Lauantai!D:D,D35,Lauantai!H:H,"&gt;0")+COUNTIFS(Sunnuntai!D:D,D35,Sunnuntai!H:H,"&gt;0")</f>
        <v>2</v>
      </c>
      <c r="L35" s="33">
        <f>K35/$G35</f>
        <v>0.33333333333333331</v>
      </c>
      <c r="M35" s="19">
        <f>COUNTIFS(Perjantai!D:D,D35,Perjantai!H:H,"&lt;0")+COUNTIFS(Lauantai!D:D,D35,Lauantai!H:H,"&lt;0")+COUNTIFS(Sunnuntai!D:D,D35,Sunnuntai!H:H,"&lt;0")</f>
        <v>4</v>
      </c>
      <c r="N35" s="33">
        <f>M35/$G35</f>
        <v>0.66666666666666663</v>
      </c>
      <c r="O35" s="36">
        <f>COUNTIFS(Perjantai!D:D,D35,Perjantai!H:H,Pisteytys!D$7)+COUNTIFS(Lauantai!D:D,D35,Lauantai!H:H,Pisteytys!B$5)+COUNTIFS(Lauantai!D:D,D35,Lauantai!H:H,Pisteytys!C$6)+COUNTIFS(Lauantai!D:D,D35,Lauantai!H:H,Pisteytys!D$7)+COUNTIFS(Lauantai!D:D,D35,Lauantai!H:H,Pisteytys!E$8)+COUNTIFS(Lauantai!D:D,D35,Lauantai!H:H,Lauantai!H$106)+COUNTIFS(Sunnuntai!D:D,D35,Sunnuntai!H:H,Pisteytys!D$7)+COUNTIFS(Sunnuntai!D:D,D35,Sunnuntai!H:H,Pisteytys!F$9)</f>
        <v>2</v>
      </c>
      <c r="P35" s="33">
        <f>O35/$G35</f>
        <v>0.33333333333333331</v>
      </c>
      <c r="Q35" s="13">
        <f>SUMIF(Perjantai!D:D,Turnaus!D35,Perjantai!F:F)+SUMIF(Lauantai!D:D,Turnaus!D35,Lauantai!F:F)+SUMIF(Sunnuntai!D:D,Turnaus!D35,Sunnuntai!F:F)</f>
        <v>226</v>
      </c>
      <c r="R35" s="12"/>
      <c r="T35" s="12"/>
      <c r="V35" s="12"/>
    </row>
    <row r="36" spans="2:22" s="11" customFormat="1" x14ac:dyDescent="0.2">
      <c r="B36" s="19">
        <v>10</v>
      </c>
      <c r="C36" s="20">
        <v>2</v>
      </c>
      <c r="D36" s="11" t="s">
        <v>5</v>
      </c>
      <c r="E36" s="25">
        <f>SUMIF(Perjantai!D:D,Turnaus!D36,Perjantai!H:H)+SUMIF(Lauantai!D:D,Turnaus!D36,Lauantai!H:H)+SUMIF(Sunnuntai!D:D,Turnaus!D36,Sunnuntai!H:H)</f>
        <v>-4.8523809523809529</v>
      </c>
      <c r="F36" s="26">
        <f>SUMIF(Sunnuntai!D:D,Turnaus!D36,Sunnuntai!H:H)</f>
        <v>-2.4166666666666665</v>
      </c>
      <c r="G36" s="19">
        <f>COUNTIF(Perjantai!D:D,D36)+COUNTIF(Lauantai!D:D,D36)+COUNTIF(Sunnuntai!D:D,D36)</f>
        <v>16</v>
      </c>
      <c r="H36" s="30">
        <f>COUNTIF(Sunnuntai!D:D,D36)</f>
        <v>2</v>
      </c>
      <c r="I36" s="19">
        <f>COUNTIFS(Perjantai!D:D,D36,Perjantai!C:C,1)+COUNTIFS(Lauantai!D:D,D36,Lauantai!C:C,1)+COUNTIFS(Sunnuntai!D:D,D36,Sunnuntai!C:C,1)</f>
        <v>4</v>
      </c>
      <c r="J36" s="33">
        <f>I36/$G36</f>
        <v>0.25</v>
      </c>
      <c r="K36" s="19">
        <f>COUNTIFS(Perjantai!D:D,D36,Perjantai!H:H,"&gt;0")+COUNTIFS(Lauantai!D:D,D36,Lauantai!H:H,"&gt;0")+COUNTIFS(Sunnuntai!D:D,D36,Sunnuntai!H:H,"&gt;0")</f>
        <v>5</v>
      </c>
      <c r="L36" s="33">
        <f>K36/$G36</f>
        <v>0.3125</v>
      </c>
      <c r="M36" s="19">
        <f>COUNTIFS(Perjantai!D:D,D36,Perjantai!H:H,"&lt;0")+COUNTIFS(Lauantai!D:D,D36,Lauantai!H:H,"&lt;0")+COUNTIFS(Sunnuntai!D:D,D36,Sunnuntai!H:H,"&lt;0")</f>
        <v>11</v>
      </c>
      <c r="N36" s="33">
        <f>M36/$G36</f>
        <v>0.6875</v>
      </c>
      <c r="O36" s="36">
        <f>COUNTIFS(Perjantai!D:D,D36,Perjantai!H:H,Pisteytys!D$7)+COUNTIFS(Lauantai!D:D,D36,Lauantai!H:H,Pisteytys!B$5)+COUNTIFS(Lauantai!D:D,D36,Lauantai!H:H,Pisteytys!C$6)+COUNTIFS(Lauantai!D:D,D36,Lauantai!H:H,Pisteytys!D$7)+COUNTIFS(Lauantai!D:D,D36,Lauantai!H:H,Pisteytys!E$8)+COUNTIFS(Lauantai!D:D,D36,Lauantai!H:H,Lauantai!H$106)+COUNTIFS(Sunnuntai!D:D,D36,Sunnuntai!H:H,Pisteytys!D$7)+COUNTIFS(Sunnuntai!D:D,D36,Sunnuntai!H:H,Pisteytys!F$9)</f>
        <v>5</v>
      </c>
      <c r="P36" s="33">
        <f>O36/$G36</f>
        <v>0.3125</v>
      </c>
      <c r="Q36" s="13">
        <f>SUMIF(Perjantai!D:D,Turnaus!D36,Perjantai!F:F)+SUMIF(Lauantai!D:D,Turnaus!D36,Lauantai!F:F)+SUMIF(Sunnuntai!D:D,Turnaus!D36,Sunnuntai!F:F)</f>
        <v>820</v>
      </c>
      <c r="R36" s="12"/>
      <c r="T36" s="12"/>
      <c r="V36" s="12"/>
    </row>
    <row r="37" spans="2:22" s="14" customFormat="1" x14ac:dyDescent="0.2">
      <c r="B37" s="21">
        <v>11</v>
      </c>
      <c r="C37" s="22">
        <v>0</v>
      </c>
      <c r="D37" s="14" t="s">
        <v>6</v>
      </c>
      <c r="E37" s="27">
        <f>SUMIF(Perjantai!D:D,Turnaus!D37,Perjantai!H:H)+SUMIF(Lauantai!D:D,Turnaus!D37,Lauantai!H:H)+SUMIF(Sunnuntai!D:D,Turnaus!D37,Sunnuntai!H:H)</f>
        <v>-11.485714285714286</v>
      </c>
      <c r="F37" s="28">
        <f>SUMIF(Sunnuntai!D:D,Turnaus!D37,Sunnuntai!H:H)</f>
        <v>-0.75</v>
      </c>
      <c r="G37" s="21">
        <f>COUNTIF(Perjantai!D:D,D37)+COUNTIF(Lauantai!D:D,D37)+COUNTIF(Sunnuntai!D:D,D37)</f>
        <v>15</v>
      </c>
      <c r="H37" s="31">
        <f>COUNTIF(Sunnuntai!D:D,D37)</f>
        <v>1</v>
      </c>
      <c r="I37" s="21">
        <f>COUNTIFS(Perjantai!D:D,D37,Perjantai!C:C,1)+COUNTIFS(Lauantai!D:D,D37,Lauantai!C:C,1)+COUNTIFS(Sunnuntai!D:D,D37,Sunnuntai!C:C,1)</f>
        <v>2</v>
      </c>
      <c r="J37" s="34">
        <f>I37/$G37</f>
        <v>0.13333333333333333</v>
      </c>
      <c r="K37" s="21">
        <f>COUNTIFS(Perjantai!D:D,D37,Perjantai!H:H,"&gt;0")+COUNTIFS(Lauantai!D:D,D37,Lauantai!H:H,"&gt;0")+COUNTIFS(Sunnuntai!D:D,D37,Sunnuntai!H:H,"&gt;0")</f>
        <v>3</v>
      </c>
      <c r="L37" s="34">
        <f>K37/$G37</f>
        <v>0.2</v>
      </c>
      <c r="M37" s="21">
        <f>COUNTIFS(Perjantai!D:D,D37,Perjantai!H:H,"&lt;0")+COUNTIFS(Lauantai!D:D,D37,Lauantai!H:H,"&lt;0")+COUNTIFS(Sunnuntai!D:D,D37,Sunnuntai!H:H,"&lt;0")</f>
        <v>12</v>
      </c>
      <c r="N37" s="34">
        <f>M37/$G37</f>
        <v>0.8</v>
      </c>
      <c r="O37" s="37">
        <f>COUNTIFS(Perjantai!D:D,D37,Perjantai!H:H,Pisteytys!D$7)+COUNTIFS(Lauantai!D:D,D37,Lauantai!H:H,Pisteytys!B$5)+COUNTIFS(Lauantai!D:D,D37,Lauantai!H:H,Pisteytys!C$6)+COUNTIFS(Lauantai!D:D,D37,Lauantai!H:H,Pisteytys!D$7)+COUNTIFS(Lauantai!D:D,D37,Lauantai!H:H,Pisteytys!E$8)+COUNTIFS(Lauantai!D:D,D37,Lauantai!H:H,Lauantai!H$106)+COUNTIFS(Sunnuntai!D:D,D37,Sunnuntai!H:H,Pisteytys!D$7)+COUNTIFS(Sunnuntai!D:D,D37,Sunnuntai!H:H,Pisteytys!F$9)</f>
        <v>8</v>
      </c>
      <c r="P37" s="34">
        <f>O37/$G37</f>
        <v>0.53333333333333333</v>
      </c>
      <c r="Q37" s="16">
        <f>SUMIF(Perjantai!D:D,Turnaus!D37,Perjantai!F:F)+SUMIF(Lauantai!D:D,Turnaus!D37,Lauantai!F:F)+SUMIF(Sunnuntai!D:D,Turnaus!D37,Sunnuntai!F:F)</f>
        <v>941</v>
      </c>
      <c r="R37" s="15"/>
      <c r="T37" s="15"/>
      <c r="V37" s="15"/>
    </row>
  </sheetData>
  <sortState ref="D8:E17">
    <sortCondition descending="1" ref="E8:E17"/>
  </sortState>
  <conditionalFormatting sqref="G1:G1048576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{927997D6-7F12-44B2-A762-7A5BBF5F8468}</x14:id>
        </ext>
      </extLst>
    </cfRule>
  </conditionalFormatting>
  <conditionalFormatting sqref="J1:J1048576">
    <cfRule type="colorScale" priority="32">
      <colorScale>
        <cfvo type="min"/>
        <cfvo type="max"/>
        <color rgb="FFFCFCFF"/>
        <color rgb="FFFFC000"/>
      </colorScale>
    </cfRule>
  </conditionalFormatting>
  <conditionalFormatting sqref="L1:L1048576">
    <cfRule type="colorScale" priority="30">
      <colorScale>
        <cfvo type="min"/>
        <cfvo type="max"/>
        <color rgb="FFFCFCFF"/>
        <color rgb="FF63BE7B"/>
      </colorScale>
    </cfRule>
  </conditionalFormatting>
  <conditionalFormatting sqref="N1:N1048576">
    <cfRule type="colorScale" priority="29">
      <colorScale>
        <cfvo type="min"/>
        <cfvo type="max"/>
        <color rgb="FFFCFCFF"/>
        <color rgb="FFF8696B"/>
      </colorScale>
    </cfRule>
  </conditionalFormatting>
  <conditionalFormatting sqref="P1:P1048576">
    <cfRule type="colorScale" priority="1">
      <colorScale>
        <cfvo type="min"/>
        <cfvo type="max"/>
        <color rgb="FFFCFCFF"/>
        <color rgb="FF663300"/>
      </colorScale>
    </cfRule>
  </conditionalFormatting>
  <printOptions horizontalCentered="1"/>
  <pageMargins left="0.31496062992125984" right="0.31496062992125984" top="0.82677165354330717" bottom="0.74803149606299213" header="0.31496062992125984" footer="0.31496062992125984"/>
  <pageSetup paperSize="9" orientation="portrait" r:id="rId1"/>
  <headerFooter>
    <oddHeader>&amp;C&amp;G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A7D5B81C-BF77-4EED-9980-4AD6DDC6FB3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F1:F1048576</xm:sqref>
        </x14:conditionalFormatting>
        <x14:conditionalFormatting xmlns:xm="http://schemas.microsoft.com/office/excel/2006/main">
          <x14:cfRule type="iconSet" priority="40" id="{8EC1214D-0FA6-4800-978A-2B1EE3B31806}">
            <x14:iconSet iconSet="3Triangles" reverse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C1:C1048576</xm:sqref>
        </x14:conditionalFormatting>
        <x14:conditionalFormatting xmlns:xm="http://schemas.microsoft.com/office/excel/2006/main">
          <x14:cfRule type="dataBar" id="{927997D6-7F12-44B2-A762-7A5BBF5F84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15</v>
      </c>
      <c r="D1" t="s">
        <v>82</v>
      </c>
      <c r="E1" t="s">
        <v>10</v>
      </c>
      <c r="F1" t="s">
        <v>2</v>
      </c>
      <c r="G1" t="s">
        <v>10</v>
      </c>
      <c r="H1" s="3" t="s">
        <v>3</v>
      </c>
    </row>
    <row r="3" spans="1:8" x14ac:dyDescent="0.25">
      <c r="A3" s="2">
        <v>0.77430555555555547</v>
      </c>
      <c r="B3" t="s">
        <v>9</v>
      </c>
      <c r="C3">
        <v>1</v>
      </c>
      <c r="D3" t="s">
        <v>4</v>
      </c>
      <c r="E3" t="s">
        <v>11</v>
      </c>
      <c r="F3">
        <v>50</v>
      </c>
      <c r="H3" s="3">
        <f>Pisteytys!D4</f>
        <v>2.25</v>
      </c>
    </row>
    <row r="4" spans="1:8" x14ac:dyDescent="0.25">
      <c r="B4" s="4" t="s">
        <v>17</v>
      </c>
      <c r="C4">
        <v>2</v>
      </c>
      <c r="D4" t="s">
        <v>7</v>
      </c>
      <c r="E4" t="s">
        <v>12</v>
      </c>
      <c r="F4">
        <v>48</v>
      </c>
      <c r="H4" s="3">
        <f>Pisteytys!D5</f>
        <v>0.25</v>
      </c>
    </row>
    <row r="5" spans="1:8" x14ac:dyDescent="0.25">
      <c r="C5">
        <v>3</v>
      </c>
      <c r="D5" t="s">
        <v>5</v>
      </c>
      <c r="E5" t="s">
        <v>13</v>
      </c>
      <c r="F5">
        <v>45</v>
      </c>
      <c r="H5" s="3">
        <f>Pisteytys!D6</f>
        <v>-0.75</v>
      </c>
    </row>
    <row r="6" spans="1:8" x14ac:dyDescent="0.25">
      <c r="C6">
        <v>4</v>
      </c>
      <c r="D6" t="s">
        <v>6</v>
      </c>
      <c r="E6" t="s">
        <v>14</v>
      </c>
      <c r="F6">
        <v>36</v>
      </c>
      <c r="H6" s="3">
        <f>Pisteytys!D7</f>
        <v>-1.75</v>
      </c>
    </row>
    <row r="8" spans="1:8" x14ac:dyDescent="0.25">
      <c r="A8" s="2">
        <v>0.81944444444444453</v>
      </c>
      <c r="B8" t="s">
        <v>9</v>
      </c>
      <c r="C8">
        <v>1</v>
      </c>
      <c r="D8" t="s">
        <v>5</v>
      </c>
      <c r="E8" t="s">
        <v>20</v>
      </c>
      <c r="F8">
        <v>52</v>
      </c>
      <c r="H8" s="3">
        <f>Pisteytys!D4</f>
        <v>2.25</v>
      </c>
    </row>
    <row r="9" spans="1:8" x14ac:dyDescent="0.25">
      <c r="B9" s="4" t="s">
        <v>17</v>
      </c>
      <c r="C9">
        <v>2</v>
      </c>
      <c r="D9" t="s">
        <v>7</v>
      </c>
      <c r="E9" t="s">
        <v>21</v>
      </c>
      <c r="F9">
        <v>49</v>
      </c>
      <c r="H9" s="3">
        <f>Pisteytys!D5</f>
        <v>0.25</v>
      </c>
    </row>
    <row r="10" spans="1:8" x14ac:dyDescent="0.25">
      <c r="C10">
        <v>3</v>
      </c>
      <c r="D10" t="s">
        <v>4</v>
      </c>
      <c r="E10" t="s">
        <v>22</v>
      </c>
      <c r="F10">
        <v>46</v>
      </c>
      <c r="H10" s="3">
        <f>Pisteytys!D6</f>
        <v>-0.75</v>
      </c>
    </row>
    <row r="11" spans="1:8" x14ac:dyDescent="0.25">
      <c r="C11">
        <v>4</v>
      </c>
      <c r="D11" t="s">
        <v>6</v>
      </c>
      <c r="E11" t="s">
        <v>13</v>
      </c>
      <c r="F11">
        <v>36</v>
      </c>
      <c r="H11" s="3">
        <f>Pisteytys!D7</f>
        <v>-1.75</v>
      </c>
    </row>
    <row r="13" spans="1:8" x14ac:dyDescent="0.25">
      <c r="A13" s="2">
        <v>0.86458333333333337</v>
      </c>
      <c r="B13" t="s">
        <v>9</v>
      </c>
      <c r="C13">
        <v>1</v>
      </c>
      <c r="D13" t="s">
        <v>4</v>
      </c>
      <c r="E13" t="s">
        <v>23</v>
      </c>
      <c r="F13">
        <v>60</v>
      </c>
      <c r="H13" s="3">
        <f>Pisteytys!D4</f>
        <v>2.25</v>
      </c>
    </row>
    <row r="14" spans="1:8" x14ac:dyDescent="0.25">
      <c r="B14" s="4" t="s">
        <v>17</v>
      </c>
      <c r="C14">
        <v>2</v>
      </c>
      <c r="D14" t="s">
        <v>7</v>
      </c>
      <c r="E14" t="s">
        <v>14</v>
      </c>
      <c r="F14">
        <v>54</v>
      </c>
      <c r="H14" s="3">
        <f>Pisteytys!D5</f>
        <v>0.25</v>
      </c>
    </row>
    <row r="15" spans="1:8" x14ac:dyDescent="0.25">
      <c r="B15" s="4" t="s">
        <v>18</v>
      </c>
      <c r="C15">
        <v>3</v>
      </c>
      <c r="D15" t="s">
        <v>6</v>
      </c>
      <c r="E15" t="s">
        <v>22</v>
      </c>
      <c r="F15">
        <v>50</v>
      </c>
      <c r="H15" s="3">
        <f>Pisteytys!D6</f>
        <v>-0.75</v>
      </c>
    </row>
    <row r="16" spans="1:8" x14ac:dyDescent="0.25">
      <c r="C16">
        <v>4</v>
      </c>
      <c r="D16" t="s">
        <v>5</v>
      </c>
      <c r="E16" t="s">
        <v>24</v>
      </c>
      <c r="F16">
        <v>48</v>
      </c>
      <c r="H16" s="3">
        <f>Pisteytys!D7</f>
        <v>-1.75</v>
      </c>
    </row>
    <row r="18" spans="1:8" x14ac:dyDescent="0.25">
      <c r="A18" s="2">
        <v>0.91666666666666663</v>
      </c>
      <c r="B18" t="s">
        <v>9</v>
      </c>
      <c r="C18">
        <v>1</v>
      </c>
      <c r="D18" t="s">
        <v>4</v>
      </c>
      <c r="E18" t="s">
        <v>11</v>
      </c>
      <c r="F18">
        <v>71</v>
      </c>
      <c r="H18" s="3">
        <f>Pisteytys!D4</f>
        <v>2.25</v>
      </c>
    </row>
    <row r="19" spans="1:8" x14ac:dyDescent="0.25">
      <c r="B19" s="4" t="s">
        <v>17</v>
      </c>
      <c r="C19">
        <v>2</v>
      </c>
      <c r="D19" t="s">
        <v>7</v>
      </c>
      <c r="E19" t="s">
        <v>25</v>
      </c>
      <c r="F19">
        <v>66</v>
      </c>
      <c r="H19" s="3">
        <f>Pisteytys!D5</f>
        <v>0.25</v>
      </c>
    </row>
    <row r="20" spans="1:8" x14ac:dyDescent="0.25">
      <c r="B20" s="4" t="s">
        <v>18</v>
      </c>
      <c r="C20">
        <v>3</v>
      </c>
      <c r="D20" t="s">
        <v>5</v>
      </c>
      <c r="E20" t="s">
        <v>20</v>
      </c>
      <c r="F20">
        <v>55</v>
      </c>
      <c r="H20" s="3">
        <f>Pisteytys!D6</f>
        <v>-0.75</v>
      </c>
    </row>
    <row r="21" spans="1:8" x14ac:dyDescent="0.25">
      <c r="B21" s="4" t="s">
        <v>19</v>
      </c>
      <c r="C21">
        <v>4</v>
      </c>
      <c r="D21" t="s">
        <v>6</v>
      </c>
      <c r="E21" t="s">
        <v>14</v>
      </c>
      <c r="F21">
        <v>47</v>
      </c>
      <c r="H21" s="3">
        <f>Pisteytys!D7</f>
        <v>-1.75</v>
      </c>
    </row>
    <row r="23" spans="1:8" x14ac:dyDescent="0.25">
      <c r="A23" s="2">
        <v>0.96875</v>
      </c>
      <c r="B23" t="s">
        <v>9</v>
      </c>
      <c r="C23">
        <v>1</v>
      </c>
      <c r="D23" t="s">
        <v>7</v>
      </c>
      <c r="E23" t="s">
        <v>20</v>
      </c>
      <c r="F23">
        <v>52</v>
      </c>
      <c r="H23" s="3">
        <f>Pisteytys!D4</f>
        <v>2.25</v>
      </c>
    </row>
    <row r="24" spans="1:8" x14ac:dyDescent="0.25">
      <c r="C24">
        <v>2</v>
      </c>
      <c r="D24" t="s">
        <v>4</v>
      </c>
      <c r="E24" t="s">
        <v>24</v>
      </c>
      <c r="F24">
        <v>49</v>
      </c>
      <c r="G24" t="s">
        <v>27</v>
      </c>
      <c r="H24" s="3">
        <f>Pisteytys!D5</f>
        <v>0.25</v>
      </c>
    </row>
    <row r="25" spans="1:8" x14ac:dyDescent="0.25">
      <c r="C25">
        <v>3</v>
      </c>
      <c r="D25" t="s">
        <v>5</v>
      </c>
      <c r="E25" t="s">
        <v>26</v>
      </c>
      <c r="F25">
        <v>49</v>
      </c>
      <c r="G25" t="s">
        <v>28</v>
      </c>
      <c r="H25" s="3">
        <f>Pisteytys!D6</f>
        <v>-0.75</v>
      </c>
    </row>
    <row r="26" spans="1:8" x14ac:dyDescent="0.25">
      <c r="C26">
        <v>4</v>
      </c>
      <c r="D26" t="s">
        <v>6</v>
      </c>
      <c r="E26" t="s">
        <v>21</v>
      </c>
      <c r="F26">
        <v>42</v>
      </c>
      <c r="H26" s="3">
        <f>Pisteytys!D7</f>
        <v>-1.75</v>
      </c>
    </row>
    <row r="29" spans="1:8" x14ac:dyDescent="0.25">
      <c r="A29">
        <v>5</v>
      </c>
      <c r="B29" t="s">
        <v>94</v>
      </c>
      <c r="C29">
        <v>4</v>
      </c>
      <c r="D29" t="s">
        <v>95</v>
      </c>
      <c r="G29" t="s">
        <v>78</v>
      </c>
      <c r="H29" s="3">
        <f>SUM(H3:H26)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15</v>
      </c>
      <c r="D1" t="s">
        <v>82</v>
      </c>
      <c r="E1" t="s">
        <v>10</v>
      </c>
      <c r="F1" t="s">
        <v>2</v>
      </c>
      <c r="G1" t="s">
        <v>10</v>
      </c>
      <c r="H1" s="3" t="s">
        <v>3</v>
      </c>
    </row>
    <row r="3" spans="1:8" x14ac:dyDescent="0.25">
      <c r="A3" s="2">
        <v>0.45833333333333331</v>
      </c>
      <c r="B3" t="s">
        <v>29</v>
      </c>
      <c r="C3">
        <v>1</v>
      </c>
      <c r="D3" t="s">
        <v>30</v>
      </c>
      <c r="F3">
        <v>25</v>
      </c>
      <c r="H3" s="3">
        <f>Pisteytys!B4</f>
        <v>1</v>
      </c>
    </row>
    <row r="4" spans="1:8" x14ac:dyDescent="0.25">
      <c r="B4" s="4"/>
      <c r="C4">
        <v>2</v>
      </c>
      <c r="D4" t="s">
        <v>6</v>
      </c>
      <c r="F4">
        <v>20</v>
      </c>
      <c r="H4" s="3">
        <f>Pisteytys!B5</f>
        <v>-1</v>
      </c>
    </row>
    <row r="6" spans="1:8" x14ac:dyDescent="0.25">
      <c r="A6" s="2">
        <v>0.48958333333333331</v>
      </c>
      <c r="B6" t="s">
        <v>31</v>
      </c>
      <c r="C6">
        <v>1</v>
      </c>
      <c r="D6" t="s">
        <v>32</v>
      </c>
      <c r="F6">
        <v>24</v>
      </c>
      <c r="H6" s="3">
        <f>Pisteytys!D4</f>
        <v>2.25</v>
      </c>
    </row>
    <row r="7" spans="1:8" x14ac:dyDescent="0.25">
      <c r="C7">
        <v>2</v>
      </c>
      <c r="D7" t="s">
        <v>33</v>
      </c>
      <c r="F7">
        <v>13</v>
      </c>
      <c r="H7" s="3">
        <f>Pisteytys!D5</f>
        <v>0.25</v>
      </c>
    </row>
    <row r="8" spans="1:8" x14ac:dyDescent="0.25">
      <c r="A8" s="2"/>
      <c r="C8">
        <v>3</v>
      </c>
      <c r="D8" t="s">
        <v>4</v>
      </c>
      <c r="F8">
        <v>9</v>
      </c>
      <c r="H8" s="3">
        <f>Pisteytys!D6</f>
        <v>-0.75</v>
      </c>
    </row>
    <row r="9" spans="1:8" x14ac:dyDescent="0.25">
      <c r="B9" s="4"/>
      <c r="C9">
        <v>4</v>
      </c>
      <c r="D9" t="s">
        <v>30</v>
      </c>
      <c r="F9">
        <v>2</v>
      </c>
      <c r="H9" s="3">
        <f>Pisteytys!D7</f>
        <v>-1.75</v>
      </c>
    </row>
    <row r="10" spans="1:8" x14ac:dyDescent="0.25">
      <c r="B10" s="4"/>
    </row>
    <row r="11" spans="1:8" x14ac:dyDescent="0.25">
      <c r="A11" s="2">
        <v>0.52083333333333337</v>
      </c>
      <c r="B11" s="4" t="s">
        <v>42</v>
      </c>
      <c r="C11">
        <v>1</v>
      </c>
      <c r="D11" t="s">
        <v>33</v>
      </c>
      <c r="F11">
        <v>25</v>
      </c>
      <c r="H11" s="3">
        <f>Pisteytys!D4</f>
        <v>2.25</v>
      </c>
    </row>
    <row r="12" spans="1:8" x14ac:dyDescent="0.25">
      <c r="B12" s="4"/>
      <c r="C12">
        <v>2</v>
      </c>
      <c r="D12" t="s">
        <v>32</v>
      </c>
      <c r="F12">
        <v>17</v>
      </c>
      <c r="H12" s="3">
        <f>Pisteytys!D5</f>
        <v>0.25</v>
      </c>
    </row>
    <row r="13" spans="1:8" x14ac:dyDescent="0.25">
      <c r="B13" s="4"/>
      <c r="C13">
        <v>3</v>
      </c>
      <c r="D13" t="s">
        <v>6</v>
      </c>
      <c r="F13">
        <v>16</v>
      </c>
      <c r="H13" s="3">
        <f>Pisteytys!D6</f>
        <v>-0.75</v>
      </c>
    </row>
    <row r="14" spans="1:8" x14ac:dyDescent="0.25">
      <c r="B14" s="4"/>
      <c r="C14">
        <v>4</v>
      </c>
      <c r="D14" t="s">
        <v>4</v>
      </c>
      <c r="F14">
        <v>12</v>
      </c>
      <c r="H14" s="3">
        <f>Pisteytys!D7</f>
        <v>-1.75</v>
      </c>
    </row>
    <row r="16" spans="1:8" x14ac:dyDescent="0.25">
      <c r="A16" s="2">
        <v>0.52083333333333337</v>
      </c>
      <c r="B16" t="s">
        <v>34</v>
      </c>
      <c r="C16">
        <v>1</v>
      </c>
      <c r="D16" t="s">
        <v>35</v>
      </c>
      <c r="E16" t="s">
        <v>37</v>
      </c>
      <c r="F16">
        <v>1</v>
      </c>
      <c r="H16" s="3">
        <f>Pisteytys!B4</f>
        <v>1</v>
      </c>
    </row>
    <row r="17" spans="1:8" x14ac:dyDescent="0.25">
      <c r="C17">
        <v>2</v>
      </c>
      <c r="D17" t="s">
        <v>36</v>
      </c>
      <c r="E17" t="s">
        <v>38</v>
      </c>
      <c r="F17">
        <v>0</v>
      </c>
      <c r="H17" s="3">
        <f>Pisteytys!B5</f>
        <v>-1</v>
      </c>
    </row>
    <row r="18" spans="1:8" x14ac:dyDescent="0.25">
      <c r="A18" s="2"/>
    </row>
    <row r="19" spans="1:8" x14ac:dyDescent="0.25">
      <c r="A19" s="2">
        <v>0.56597222222222221</v>
      </c>
      <c r="B19" s="4" t="s">
        <v>39</v>
      </c>
      <c r="C19">
        <v>1</v>
      </c>
      <c r="D19" t="s">
        <v>36</v>
      </c>
      <c r="E19" t="s">
        <v>40</v>
      </c>
      <c r="F19">
        <v>4</v>
      </c>
      <c r="H19" s="3">
        <f>Pisteytys!B4</f>
        <v>1</v>
      </c>
    </row>
    <row r="20" spans="1:8" x14ac:dyDescent="0.25">
      <c r="B20" s="4" t="s">
        <v>48</v>
      </c>
      <c r="C20">
        <v>2</v>
      </c>
      <c r="D20" t="s">
        <v>35</v>
      </c>
      <c r="E20" t="s">
        <v>41</v>
      </c>
      <c r="F20">
        <v>0</v>
      </c>
      <c r="H20" s="3">
        <f>Pisteytys!B5</f>
        <v>-1</v>
      </c>
    </row>
    <row r="22" spans="1:8" x14ac:dyDescent="0.25">
      <c r="A22" s="2">
        <v>0.58333333333333337</v>
      </c>
      <c r="B22" t="s">
        <v>43</v>
      </c>
      <c r="C22">
        <v>1</v>
      </c>
      <c r="D22" t="s">
        <v>32</v>
      </c>
      <c r="F22">
        <v>105</v>
      </c>
      <c r="H22" s="3">
        <f>Pisteytys!D4</f>
        <v>2.25</v>
      </c>
    </row>
    <row r="23" spans="1:8" x14ac:dyDescent="0.25">
      <c r="A23" s="2"/>
      <c r="C23">
        <v>2</v>
      </c>
      <c r="D23" t="s">
        <v>4</v>
      </c>
      <c r="F23">
        <v>103</v>
      </c>
      <c r="H23" s="3">
        <f>Pisteytys!D5</f>
        <v>0.25</v>
      </c>
    </row>
    <row r="24" spans="1:8" x14ac:dyDescent="0.25">
      <c r="B24" s="4"/>
      <c r="C24">
        <v>3</v>
      </c>
      <c r="D24" t="s">
        <v>33</v>
      </c>
      <c r="F24">
        <v>99</v>
      </c>
      <c r="H24" s="3">
        <f>Pisteytys!D6</f>
        <v>-0.75</v>
      </c>
    </row>
    <row r="25" spans="1:8" x14ac:dyDescent="0.25">
      <c r="B25" s="4"/>
      <c r="C25">
        <v>4</v>
      </c>
      <c r="D25" t="s">
        <v>6</v>
      </c>
      <c r="F25">
        <v>95</v>
      </c>
      <c r="H25" s="3">
        <f>Pisteytys!D7</f>
        <v>-1.75</v>
      </c>
    </row>
    <row r="26" spans="1:8" x14ac:dyDescent="0.25">
      <c r="B26" s="4"/>
    </row>
    <row r="27" spans="1:8" x14ac:dyDescent="0.25">
      <c r="A27" s="2">
        <v>0.59375</v>
      </c>
      <c r="B27" t="s">
        <v>44</v>
      </c>
      <c r="C27">
        <v>1</v>
      </c>
      <c r="D27" t="s">
        <v>5</v>
      </c>
      <c r="H27" s="3">
        <f>Pisteytys!D4</f>
        <v>2.25</v>
      </c>
    </row>
    <row r="28" spans="1:8" x14ac:dyDescent="0.25">
      <c r="A28" s="2"/>
      <c r="C28">
        <v>2</v>
      </c>
      <c r="D28" t="s">
        <v>30</v>
      </c>
      <c r="H28" s="3">
        <f>Pisteytys!D5</f>
        <v>0.25</v>
      </c>
    </row>
    <row r="29" spans="1:8" x14ac:dyDescent="0.25">
      <c r="C29">
        <v>3</v>
      </c>
      <c r="D29" t="s">
        <v>45</v>
      </c>
      <c r="H29" s="3">
        <f>Pisteytys!D6</f>
        <v>-0.75</v>
      </c>
    </row>
    <row r="30" spans="1:8" x14ac:dyDescent="0.25">
      <c r="C30">
        <v>4</v>
      </c>
      <c r="D30" t="s">
        <v>46</v>
      </c>
      <c r="H30" s="3">
        <f>Pisteytys!D7</f>
        <v>-1.75</v>
      </c>
    </row>
    <row r="32" spans="1:8" x14ac:dyDescent="0.25">
      <c r="A32" s="2">
        <v>0.65625</v>
      </c>
      <c r="B32" t="s">
        <v>47</v>
      </c>
      <c r="C32">
        <v>1</v>
      </c>
      <c r="D32" t="s">
        <v>5</v>
      </c>
      <c r="F32">
        <v>179</v>
      </c>
      <c r="H32" s="3">
        <f>Pisteytys!B4</f>
        <v>1</v>
      </c>
    </row>
    <row r="33" spans="1:8" x14ac:dyDescent="0.25">
      <c r="B33" t="s">
        <v>49</v>
      </c>
      <c r="C33">
        <v>2</v>
      </c>
      <c r="D33" t="s">
        <v>45</v>
      </c>
      <c r="F33">
        <v>124</v>
      </c>
      <c r="H33" s="3">
        <f>Pisteytys!B5</f>
        <v>-1</v>
      </c>
    </row>
    <row r="35" spans="1:8" x14ac:dyDescent="0.25">
      <c r="A35" s="2">
        <v>0.66319444444444442</v>
      </c>
      <c r="B35" t="s">
        <v>50</v>
      </c>
      <c r="C35">
        <v>1</v>
      </c>
      <c r="D35" t="s">
        <v>35</v>
      </c>
      <c r="F35">
        <v>25</v>
      </c>
      <c r="H35" s="3">
        <f>Pisteytys!D4</f>
        <v>2.25</v>
      </c>
    </row>
    <row r="36" spans="1:8" x14ac:dyDescent="0.25">
      <c r="C36">
        <v>2</v>
      </c>
      <c r="D36" t="s">
        <v>36</v>
      </c>
      <c r="F36">
        <v>22</v>
      </c>
      <c r="H36" s="3">
        <f>Pisteytys!D5</f>
        <v>0.25</v>
      </c>
    </row>
    <row r="37" spans="1:8" x14ac:dyDescent="0.25">
      <c r="C37">
        <v>3</v>
      </c>
      <c r="D37" t="s">
        <v>46</v>
      </c>
      <c r="F37">
        <v>20</v>
      </c>
      <c r="H37" s="3">
        <f>Pisteytys!D6</f>
        <v>-0.75</v>
      </c>
    </row>
    <row r="38" spans="1:8" x14ac:dyDescent="0.25">
      <c r="C38">
        <v>4</v>
      </c>
      <c r="D38" t="s">
        <v>30</v>
      </c>
      <c r="F38">
        <v>18</v>
      </c>
      <c r="H38" s="3">
        <f>Pisteytys!D7</f>
        <v>-1.75</v>
      </c>
    </row>
    <row r="40" spans="1:8" x14ac:dyDescent="0.25">
      <c r="A40" s="2">
        <v>0.68055555555555547</v>
      </c>
      <c r="B40" t="s">
        <v>51</v>
      </c>
      <c r="C40">
        <v>1</v>
      </c>
      <c r="D40" t="s">
        <v>4</v>
      </c>
      <c r="F40">
        <v>461</v>
      </c>
      <c r="H40" s="3">
        <f>Pisteytys!D4</f>
        <v>2.25</v>
      </c>
    </row>
    <row r="41" spans="1:8" x14ac:dyDescent="0.25">
      <c r="C41">
        <v>2</v>
      </c>
      <c r="D41" t="s">
        <v>30</v>
      </c>
      <c r="F41">
        <v>399</v>
      </c>
      <c r="H41" s="3">
        <f>Pisteytys!D5</f>
        <v>0.25</v>
      </c>
    </row>
    <row r="42" spans="1:8" x14ac:dyDescent="0.25">
      <c r="C42">
        <v>3</v>
      </c>
      <c r="D42" t="s">
        <v>6</v>
      </c>
      <c r="F42">
        <v>397</v>
      </c>
      <c r="H42" s="3">
        <f>Pisteytys!D6</f>
        <v>-0.75</v>
      </c>
    </row>
    <row r="43" spans="1:8" x14ac:dyDescent="0.25">
      <c r="C43">
        <v>4</v>
      </c>
      <c r="D43" t="s">
        <v>45</v>
      </c>
      <c r="F43">
        <v>316</v>
      </c>
      <c r="H43" s="3">
        <f>Pisteytys!D7</f>
        <v>-1.75</v>
      </c>
    </row>
    <row r="45" spans="1:8" x14ac:dyDescent="0.25">
      <c r="A45" s="2">
        <v>0.68055555555555547</v>
      </c>
      <c r="B45" t="s">
        <v>52</v>
      </c>
      <c r="C45">
        <v>1</v>
      </c>
      <c r="D45" t="s">
        <v>32</v>
      </c>
      <c r="F45">
        <v>124</v>
      </c>
      <c r="H45" s="3">
        <f>Pisteytys!E4</f>
        <v>2.8</v>
      </c>
    </row>
    <row r="46" spans="1:8" x14ac:dyDescent="0.25">
      <c r="C46">
        <v>2</v>
      </c>
      <c r="D46" t="s">
        <v>33</v>
      </c>
      <c r="F46">
        <v>108</v>
      </c>
      <c r="H46" s="3">
        <f>Pisteytys!E5</f>
        <v>0.79999999999999982</v>
      </c>
    </row>
    <row r="47" spans="1:8" x14ac:dyDescent="0.25">
      <c r="C47">
        <v>3</v>
      </c>
      <c r="D47" t="s">
        <v>5</v>
      </c>
      <c r="F47">
        <v>101</v>
      </c>
      <c r="H47" s="3">
        <f>Pisteytys!E6</f>
        <v>-0.20000000000000018</v>
      </c>
    </row>
    <row r="48" spans="1:8" x14ac:dyDescent="0.25">
      <c r="C48">
        <v>4</v>
      </c>
      <c r="D48" t="s">
        <v>46</v>
      </c>
      <c r="F48">
        <v>85</v>
      </c>
      <c r="H48" s="3">
        <f>Pisteytys!E7</f>
        <v>-1.2000000000000002</v>
      </c>
    </row>
    <row r="49" spans="1:8" x14ac:dyDescent="0.25">
      <c r="C49">
        <v>5</v>
      </c>
      <c r="D49" t="s">
        <v>36</v>
      </c>
      <c r="F49">
        <v>83</v>
      </c>
      <c r="H49" s="3">
        <f>Pisteytys!E8</f>
        <v>-2.2000000000000002</v>
      </c>
    </row>
    <row r="51" spans="1:8" x14ac:dyDescent="0.25">
      <c r="A51" s="2">
        <v>0.75</v>
      </c>
      <c r="B51" t="s">
        <v>53</v>
      </c>
      <c r="C51">
        <v>1</v>
      </c>
      <c r="D51" t="s">
        <v>32</v>
      </c>
      <c r="F51">
        <v>16</v>
      </c>
      <c r="H51" s="3">
        <f>Pisteytys!E4</f>
        <v>2.8</v>
      </c>
    </row>
    <row r="52" spans="1:8" x14ac:dyDescent="0.25">
      <c r="C52">
        <v>2</v>
      </c>
      <c r="D52" t="s">
        <v>30</v>
      </c>
      <c r="F52">
        <v>38</v>
      </c>
      <c r="H52" s="3">
        <f>Pisteytys!E5</f>
        <v>0.79999999999999982</v>
      </c>
    </row>
    <row r="53" spans="1:8" x14ac:dyDescent="0.25">
      <c r="C53">
        <v>3</v>
      </c>
      <c r="D53" t="s">
        <v>36</v>
      </c>
      <c r="F53">
        <v>42</v>
      </c>
      <c r="H53" s="3">
        <f>Pisteytys!E6</f>
        <v>-0.20000000000000018</v>
      </c>
    </row>
    <row r="54" spans="1:8" x14ac:dyDescent="0.25">
      <c r="C54">
        <v>4</v>
      </c>
      <c r="D54" t="s">
        <v>45</v>
      </c>
      <c r="F54">
        <v>52</v>
      </c>
      <c r="H54" s="3">
        <f>Pisteytys!E7</f>
        <v>-1.2000000000000002</v>
      </c>
    </row>
    <row r="55" spans="1:8" x14ac:dyDescent="0.25">
      <c r="C55">
        <v>5</v>
      </c>
      <c r="D55" t="s">
        <v>35</v>
      </c>
      <c r="F55">
        <v>78</v>
      </c>
      <c r="H55" s="3">
        <f>Pisteytys!E8</f>
        <v>-2.2000000000000002</v>
      </c>
    </row>
    <row r="57" spans="1:8" x14ac:dyDescent="0.25">
      <c r="A57" s="2">
        <v>0.75</v>
      </c>
      <c r="B57" t="s">
        <v>54</v>
      </c>
      <c r="C57">
        <v>1</v>
      </c>
      <c r="D57" t="s">
        <v>46</v>
      </c>
      <c r="F57">
        <v>3</v>
      </c>
      <c r="H57" s="3">
        <f>Pisteytys!D4</f>
        <v>2.25</v>
      </c>
    </row>
    <row r="58" spans="1:8" x14ac:dyDescent="0.25">
      <c r="C58">
        <v>2</v>
      </c>
      <c r="D58" t="s">
        <v>4</v>
      </c>
      <c r="F58">
        <v>2</v>
      </c>
      <c r="H58" s="3">
        <f>Pisteytys!D5</f>
        <v>0.25</v>
      </c>
    </row>
    <row r="59" spans="1:8" x14ac:dyDescent="0.25">
      <c r="C59">
        <v>3</v>
      </c>
      <c r="D59" t="s">
        <v>33</v>
      </c>
      <c r="F59">
        <v>1</v>
      </c>
      <c r="H59" s="3">
        <f>Pisteytys!D6</f>
        <v>-0.75</v>
      </c>
    </row>
    <row r="60" spans="1:8" x14ac:dyDescent="0.25">
      <c r="C60">
        <v>4</v>
      </c>
      <c r="D60" t="s">
        <v>5</v>
      </c>
      <c r="F60">
        <v>0</v>
      </c>
      <c r="H60" s="3">
        <f>Pisteytys!D7</f>
        <v>-1.75</v>
      </c>
    </row>
    <row r="62" spans="1:8" x14ac:dyDescent="0.25">
      <c r="A62" s="2">
        <v>0.77083333333333337</v>
      </c>
      <c r="B62" t="s">
        <v>43</v>
      </c>
      <c r="C62">
        <v>1</v>
      </c>
      <c r="D62" t="s">
        <v>5</v>
      </c>
      <c r="F62">
        <v>88</v>
      </c>
      <c r="H62" s="3">
        <f>Pisteytys!E4</f>
        <v>2.8</v>
      </c>
    </row>
    <row r="63" spans="1:8" x14ac:dyDescent="0.25">
      <c r="C63">
        <v>2</v>
      </c>
      <c r="D63" t="s">
        <v>6</v>
      </c>
      <c r="F63">
        <v>85</v>
      </c>
      <c r="H63" s="3">
        <f>Pisteytys!E5</f>
        <v>0.79999999999999982</v>
      </c>
    </row>
    <row r="64" spans="1:8" x14ac:dyDescent="0.25">
      <c r="C64">
        <v>3</v>
      </c>
      <c r="D64" t="s">
        <v>35</v>
      </c>
      <c r="F64">
        <v>80</v>
      </c>
      <c r="H64" s="3">
        <f>Pisteytys!E6</f>
        <v>-0.20000000000000018</v>
      </c>
    </row>
    <row r="65" spans="1:8" x14ac:dyDescent="0.25">
      <c r="C65">
        <v>4</v>
      </c>
      <c r="D65" t="s">
        <v>36</v>
      </c>
      <c r="F65">
        <v>75</v>
      </c>
      <c r="H65" s="3">
        <f>Pisteytys!E7</f>
        <v>-1.2000000000000002</v>
      </c>
    </row>
    <row r="66" spans="1:8" x14ac:dyDescent="0.25">
      <c r="C66">
        <v>5</v>
      </c>
      <c r="D66" t="s">
        <v>30</v>
      </c>
      <c r="F66">
        <v>62</v>
      </c>
      <c r="H66" s="3">
        <f>Pisteytys!E8</f>
        <v>-2.2000000000000002</v>
      </c>
    </row>
    <row r="68" spans="1:8" x14ac:dyDescent="0.25">
      <c r="A68" s="2">
        <v>0.8125</v>
      </c>
      <c r="B68" t="s">
        <v>96</v>
      </c>
      <c r="C68">
        <v>1</v>
      </c>
      <c r="D68" t="s">
        <v>45</v>
      </c>
      <c r="F68">
        <v>104</v>
      </c>
      <c r="H68" s="3">
        <f>Pisteytys!E4</f>
        <v>2.8</v>
      </c>
    </row>
    <row r="69" spans="1:8" x14ac:dyDescent="0.25">
      <c r="C69">
        <v>2</v>
      </c>
      <c r="D69" t="s">
        <v>33</v>
      </c>
      <c r="F69">
        <v>99</v>
      </c>
      <c r="H69" s="3">
        <f>Pisteytys!E5</f>
        <v>0.79999999999999982</v>
      </c>
    </row>
    <row r="70" spans="1:8" x14ac:dyDescent="0.25">
      <c r="C70">
        <v>3</v>
      </c>
      <c r="D70" t="s">
        <v>4</v>
      </c>
      <c r="F70">
        <v>95</v>
      </c>
      <c r="H70" s="3">
        <f>Pisteytys!E6</f>
        <v>-0.20000000000000018</v>
      </c>
    </row>
    <row r="71" spans="1:8" x14ac:dyDescent="0.25">
      <c r="C71">
        <v>4</v>
      </c>
      <c r="D71" t="s">
        <v>32</v>
      </c>
      <c r="F71">
        <v>94</v>
      </c>
      <c r="H71" s="3">
        <f>Pisteytys!E7</f>
        <v>-1.2000000000000002</v>
      </c>
    </row>
    <row r="72" spans="1:8" x14ac:dyDescent="0.25">
      <c r="C72">
        <v>5</v>
      </c>
      <c r="D72" t="s">
        <v>46</v>
      </c>
      <c r="F72">
        <v>63</v>
      </c>
      <c r="H72" s="3">
        <f>Pisteytys!E8</f>
        <v>-2.2000000000000002</v>
      </c>
    </row>
    <row r="74" spans="1:8" x14ac:dyDescent="0.25">
      <c r="A74" s="2">
        <v>0.88194444444444453</v>
      </c>
      <c r="B74" t="s">
        <v>47</v>
      </c>
      <c r="C74">
        <v>1</v>
      </c>
      <c r="D74" t="s">
        <v>46</v>
      </c>
      <c r="F74">
        <v>125</v>
      </c>
      <c r="H74" s="3">
        <f>Pisteytys!C4</f>
        <v>1.6666666666666667</v>
      </c>
    </row>
    <row r="75" spans="1:8" x14ac:dyDescent="0.25">
      <c r="B75" t="s">
        <v>49</v>
      </c>
      <c r="C75">
        <v>2</v>
      </c>
      <c r="D75" t="s">
        <v>30</v>
      </c>
      <c r="F75">
        <v>124</v>
      </c>
      <c r="H75" s="3">
        <f>Pisteytys!C5</f>
        <v>-0.33333333333333326</v>
      </c>
    </row>
    <row r="76" spans="1:8" x14ac:dyDescent="0.25">
      <c r="C76">
        <v>3</v>
      </c>
      <c r="D76" t="s">
        <v>4</v>
      </c>
      <c r="F76">
        <v>118</v>
      </c>
      <c r="H76" s="3">
        <f>Pisteytys!C6</f>
        <v>-1.3333333333333333</v>
      </c>
    </row>
    <row r="78" spans="1:8" x14ac:dyDescent="0.25">
      <c r="A78" s="2">
        <v>0.88194444444444453</v>
      </c>
      <c r="B78" t="s">
        <v>55</v>
      </c>
      <c r="C78">
        <v>1</v>
      </c>
      <c r="D78" t="s">
        <v>32</v>
      </c>
      <c r="F78">
        <v>40</v>
      </c>
      <c r="H78" s="3">
        <f>Pisteytys!D4</f>
        <v>2.25</v>
      </c>
    </row>
    <row r="79" spans="1:8" x14ac:dyDescent="0.25">
      <c r="C79">
        <v>2</v>
      </c>
      <c r="D79" t="s">
        <v>33</v>
      </c>
      <c r="F79">
        <v>31</v>
      </c>
      <c r="H79" s="3">
        <f>Pisteytys!D5</f>
        <v>0.25</v>
      </c>
    </row>
    <row r="80" spans="1:8" x14ac:dyDescent="0.25">
      <c r="C80">
        <v>3</v>
      </c>
      <c r="D80" t="s">
        <v>5</v>
      </c>
      <c r="F80">
        <v>28</v>
      </c>
      <c r="H80" s="3">
        <f>Pisteytys!D6</f>
        <v>-0.75</v>
      </c>
    </row>
    <row r="81" spans="1:8" x14ac:dyDescent="0.25">
      <c r="C81">
        <v>4</v>
      </c>
      <c r="D81" t="s">
        <v>6</v>
      </c>
      <c r="F81">
        <v>25</v>
      </c>
      <c r="H81" s="3">
        <f>Pisteytys!D7</f>
        <v>-1.75</v>
      </c>
    </row>
    <row r="83" spans="1:8" x14ac:dyDescent="0.25">
      <c r="A83" s="2">
        <v>0.96875</v>
      </c>
      <c r="B83" t="s">
        <v>59</v>
      </c>
      <c r="C83">
        <v>1</v>
      </c>
      <c r="D83" t="s">
        <v>33</v>
      </c>
      <c r="F83">
        <v>94</v>
      </c>
      <c r="H83" s="3">
        <f>Pisteytys!D4</f>
        <v>2.25</v>
      </c>
    </row>
    <row r="84" spans="1:8" x14ac:dyDescent="0.25">
      <c r="A84" s="2"/>
      <c r="B84" s="4" t="s">
        <v>60</v>
      </c>
      <c r="C84">
        <v>2</v>
      </c>
      <c r="D84" t="s">
        <v>32</v>
      </c>
      <c r="F84">
        <v>85</v>
      </c>
      <c r="H84" s="3">
        <f>Pisteytys!D5</f>
        <v>0.25</v>
      </c>
    </row>
    <row r="85" spans="1:8" x14ac:dyDescent="0.25">
      <c r="B85" s="4" t="s">
        <v>61</v>
      </c>
      <c r="C85">
        <v>3</v>
      </c>
      <c r="D85" t="s">
        <v>5</v>
      </c>
      <c r="F85">
        <v>81</v>
      </c>
      <c r="H85" s="3">
        <f>Pisteytys!D6</f>
        <v>-0.75</v>
      </c>
    </row>
    <row r="86" spans="1:8" x14ac:dyDescent="0.25">
      <c r="B86" s="4" t="s">
        <v>62</v>
      </c>
      <c r="C86">
        <v>4</v>
      </c>
      <c r="D86" t="s">
        <v>4</v>
      </c>
      <c r="F86">
        <v>67</v>
      </c>
      <c r="H86" s="3">
        <f>Pisteytys!D7</f>
        <v>-1.75</v>
      </c>
    </row>
    <row r="88" spans="1:8" x14ac:dyDescent="0.25">
      <c r="A88" s="2">
        <v>0.97916666666666663</v>
      </c>
      <c r="B88" t="s">
        <v>56</v>
      </c>
      <c r="C88">
        <v>1</v>
      </c>
      <c r="D88" t="s">
        <v>6</v>
      </c>
      <c r="F88">
        <v>64</v>
      </c>
      <c r="H88" s="3">
        <f>Pisteytys!C4</f>
        <v>1.6666666666666667</v>
      </c>
    </row>
    <row r="89" spans="1:8" x14ac:dyDescent="0.25">
      <c r="C89">
        <v>2</v>
      </c>
      <c r="D89" t="s">
        <v>46</v>
      </c>
      <c r="F89">
        <v>55</v>
      </c>
      <c r="G89" t="s">
        <v>57</v>
      </c>
      <c r="H89" s="3">
        <f>Pisteytys!C5</f>
        <v>-0.33333333333333326</v>
      </c>
    </row>
    <row r="90" spans="1:8" x14ac:dyDescent="0.25">
      <c r="C90">
        <v>3</v>
      </c>
      <c r="D90" t="s">
        <v>30</v>
      </c>
      <c r="F90">
        <v>55</v>
      </c>
      <c r="G90" t="s">
        <v>58</v>
      </c>
      <c r="H90" s="3">
        <f>Pisteytys!C6</f>
        <v>-1.3333333333333333</v>
      </c>
    </row>
    <row r="92" spans="1:8" x14ac:dyDescent="0.25">
      <c r="A92" s="2">
        <v>5.5555555555555552E-2</v>
      </c>
      <c r="B92" t="s">
        <v>63</v>
      </c>
      <c r="C92">
        <v>1</v>
      </c>
      <c r="D92" t="s">
        <v>33</v>
      </c>
      <c r="E92" t="s">
        <v>64</v>
      </c>
      <c r="G92" t="s">
        <v>67</v>
      </c>
      <c r="H92" s="3">
        <f>SUM(Pisteytys!G$4:G$6)/3</f>
        <v>2.1904761904761902</v>
      </c>
    </row>
    <row r="93" spans="1:8" x14ac:dyDescent="0.25">
      <c r="C93">
        <v>1</v>
      </c>
      <c r="D93" t="s">
        <v>46</v>
      </c>
      <c r="E93" t="s">
        <v>66</v>
      </c>
      <c r="G93" t="s">
        <v>68</v>
      </c>
      <c r="H93" s="3">
        <f>SUM(Pisteytys!G$4:G$6)/3</f>
        <v>2.1904761904761902</v>
      </c>
    </row>
    <row r="94" spans="1:8" x14ac:dyDescent="0.25">
      <c r="C94">
        <v>1</v>
      </c>
      <c r="D94" t="s">
        <v>32</v>
      </c>
      <c r="E94" t="s">
        <v>65</v>
      </c>
      <c r="G94" t="s">
        <v>68</v>
      </c>
      <c r="H94" s="3">
        <f>SUM(Pisteytys!G$4:G$6)/3</f>
        <v>2.1904761904761902</v>
      </c>
    </row>
    <row r="95" spans="1:8" x14ac:dyDescent="0.25">
      <c r="C95">
        <v>2</v>
      </c>
      <c r="D95" t="s">
        <v>30</v>
      </c>
      <c r="E95" t="s">
        <v>70</v>
      </c>
      <c r="G95" t="s">
        <v>69</v>
      </c>
      <c r="H95" s="3">
        <f>SUM(Pisteytys!G$7:G$10)/4</f>
        <v>-1.6428571428571428</v>
      </c>
    </row>
    <row r="96" spans="1:8" x14ac:dyDescent="0.25">
      <c r="C96">
        <v>2</v>
      </c>
      <c r="D96" t="s">
        <v>4</v>
      </c>
      <c r="E96" t="s">
        <v>72</v>
      </c>
      <c r="G96" t="s">
        <v>69</v>
      </c>
      <c r="H96" s="3">
        <f>SUM(Pisteytys!G$7:G$10)/4</f>
        <v>-1.6428571428571428</v>
      </c>
    </row>
    <row r="97" spans="1:8" x14ac:dyDescent="0.25">
      <c r="C97">
        <v>2</v>
      </c>
      <c r="D97" t="s">
        <v>5</v>
      </c>
      <c r="E97" t="s">
        <v>71</v>
      </c>
      <c r="G97" t="s">
        <v>69</v>
      </c>
      <c r="H97" s="3">
        <f>SUM(Pisteytys!G$7:G$10)/4</f>
        <v>-1.6428571428571428</v>
      </c>
    </row>
    <row r="98" spans="1:8" x14ac:dyDescent="0.25">
      <c r="C98">
        <v>2</v>
      </c>
      <c r="D98" t="s">
        <v>6</v>
      </c>
      <c r="E98" t="s">
        <v>73</v>
      </c>
      <c r="G98" t="s">
        <v>75</v>
      </c>
      <c r="H98" s="3">
        <f>SUM(Pisteytys!G$7:G$10)/4</f>
        <v>-1.6428571428571428</v>
      </c>
    </row>
    <row r="100" spans="1:8" x14ac:dyDescent="0.25">
      <c r="A100" s="2">
        <v>9.7222222222222224E-2</v>
      </c>
      <c r="B100" t="s">
        <v>63</v>
      </c>
      <c r="C100">
        <v>1</v>
      </c>
      <c r="D100" t="s">
        <v>30</v>
      </c>
      <c r="E100" t="s">
        <v>70</v>
      </c>
      <c r="G100" t="s">
        <v>67</v>
      </c>
      <c r="H100" s="3">
        <f>SUM(Pisteytys!G$4:G$6)/3</f>
        <v>2.1904761904761902</v>
      </c>
    </row>
    <row r="101" spans="1:8" x14ac:dyDescent="0.25">
      <c r="C101">
        <v>1</v>
      </c>
      <c r="D101" t="s">
        <v>46</v>
      </c>
      <c r="E101" t="s">
        <v>64</v>
      </c>
      <c r="G101" t="s">
        <v>68</v>
      </c>
      <c r="H101" s="3">
        <f>SUM(Pisteytys!G$4:G$6)/3</f>
        <v>2.1904761904761902</v>
      </c>
    </row>
    <row r="102" spans="1:8" x14ac:dyDescent="0.25">
      <c r="C102">
        <v>1</v>
      </c>
      <c r="D102" t="s">
        <v>6</v>
      </c>
      <c r="E102" t="s">
        <v>74</v>
      </c>
      <c r="G102" t="s">
        <v>68</v>
      </c>
      <c r="H102" s="3">
        <f>SUM(Pisteytys!G$4:G$6)/3</f>
        <v>2.1904761904761902</v>
      </c>
    </row>
    <row r="103" spans="1:8" x14ac:dyDescent="0.25">
      <c r="C103">
        <v>2</v>
      </c>
      <c r="D103" t="s">
        <v>4</v>
      </c>
      <c r="E103" t="s">
        <v>76</v>
      </c>
      <c r="G103" t="s">
        <v>69</v>
      </c>
      <c r="H103" s="3">
        <f>SUM(Pisteytys!G$7:G$10)/4</f>
        <v>-1.6428571428571428</v>
      </c>
    </row>
    <row r="104" spans="1:8" x14ac:dyDescent="0.25">
      <c r="C104">
        <v>2</v>
      </c>
      <c r="D104" t="s">
        <v>5</v>
      </c>
      <c r="E104" t="s">
        <v>72</v>
      </c>
      <c r="G104" t="s">
        <v>69</v>
      </c>
      <c r="H104" s="3">
        <f>SUM(Pisteytys!G$7:G$10)/4</f>
        <v>-1.6428571428571428</v>
      </c>
    </row>
    <row r="105" spans="1:8" x14ac:dyDescent="0.25">
      <c r="C105">
        <v>2</v>
      </c>
      <c r="D105" t="s">
        <v>32</v>
      </c>
      <c r="E105" t="s">
        <v>77</v>
      </c>
      <c r="G105" t="s">
        <v>69</v>
      </c>
      <c r="H105" s="3">
        <f>SUM(Pisteytys!G$7:G$10)/4</f>
        <v>-1.6428571428571428</v>
      </c>
    </row>
    <row r="106" spans="1:8" x14ac:dyDescent="0.25">
      <c r="C106">
        <v>2</v>
      </c>
      <c r="D106" t="s">
        <v>33</v>
      </c>
      <c r="E106" t="s">
        <v>66</v>
      </c>
      <c r="G106" t="s">
        <v>75</v>
      </c>
      <c r="H106" s="3">
        <f>SUM(Pisteytys!G$7:G$10)/4</f>
        <v>-1.6428571428571428</v>
      </c>
    </row>
    <row r="109" spans="1:8" x14ac:dyDescent="0.25">
      <c r="A109">
        <v>21</v>
      </c>
      <c r="B109" t="s">
        <v>94</v>
      </c>
      <c r="C109">
        <v>10</v>
      </c>
      <c r="D109" t="s">
        <v>95</v>
      </c>
      <c r="G109" t="s">
        <v>78</v>
      </c>
      <c r="H109" s="3">
        <f>SUM(H3:H106)</f>
        <v>-3.1086244689504383E-15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15</v>
      </c>
      <c r="D1" t="s">
        <v>82</v>
      </c>
      <c r="E1" t="s">
        <v>10</v>
      </c>
      <c r="F1" t="s">
        <v>2</v>
      </c>
      <c r="G1" t="s">
        <v>10</v>
      </c>
      <c r="H1" s="3" t="s">
        <v>3</v>
      </c>
    </row>
    <row r="3" spans="1:8" x14ac:dyDescent="0.25">
      <c r="A3" s="2">
        <v>0.41319444444444442</v>
      </c>
      <c r="B3" t="s">
        <v>79</v>
      </c>
      <c r="C3">
        <v>1</v>
      </c>
      <c r="D3" t="s">
        <v>33</v>
      </c>
      <c r="F3">
        <v>98</v>
      </c>
      <c r="H3" s="3">
        <f>Pisteytys!F4</f>
        <v>3.3333333333333335</v>
      </c>
    </row>
    <row r="4" spans="1:8" x14ac:dyDescent="0.25">
      <c r="B4" s="4"/>
      <c r="C4">
        <v>2</v>
      </c>
      <c r="D4" t="s">
        <v>30</v>
      </c>
      <c r="F4">
        <v>91</v>
      </c>
      <c r="H4" s="3">
        <f>Pisteytys!F5</f>
        <v>1.3333333333333335</v>
      </c>
    </row>
    <row r="5" spans="1:8" x14ac:dyDescent="0.25">
      <c r="C5">
        <v>3</v>
      </c>
      <c r="D5" t="s">
        <v>4</v>
      </c>
      <c r="F5">
        <v>89</v>
      </c>
      <c r="H5" s="3">
        <f>Pisteytys!F6</f>
        <v>0.33333333333333348</v>
      </c>
    </row>
    <row r="6" spans="1:8" x14ac:dyDescent="0.25">
      <c r="C6">
        <v>4</v>
      </c>
      <c r="D6" t="s">
        <v>32</v>
      </c>
      <c r="F6">
        <v>73</v>
      </c>
      <c r="H6" s="3">
        <f>Pisteytys!F7</f>
        <v>-0.66666666666666652</v>
      </c>
    </row>
    <row r="7" spans="1:8" x14ac:dyDescent="0.25">
      <c r="C7">
        <v>5</v>
      </c>
      <c r="D7" t="s">
        <v>46</v>
      </c>
      <c r="F7">
        <v>69</v>
      </c>
      <c r="H7" s="3">
        <f>Pisteytys!F8</f>
        <v>-1.6666666666666665</v>
      </c>
    </row>
    <row r="8" spans="1:8" x14ac:dyDescent="0.25">
      <c r="A8" s="2"/>
      <c r="C8">
        <v>6</v>
      </c>
      <c r="D8" t="s">
        <v>5</v>
      </c>
      <c r="F8">
        <v>63</v>
      </c>
      <c r="H8" s="3">
        <f>Pisteytys!F9</f>
        <v>-2.6666666666666665</v>
      </c>
    </row>
    <row r="9" spans="1:8" x14ac:dyDescent="0.25">
      <c r="B9" s="4"/>
    </row>
    <row r="10" spans="1:8" x14ac:dyDescent="0.25">
      <c r="A10" s="2">
        <v>0.5</v>
      </c>
      <c r="B10" t="s">
        <v>80</v>
      </c>
      <c r="C10">
        <v>1</v>
      </c>
      <c r="D10" t="s">
        <v>30</v>
      </c>
      <c r="F10">
        <v>35</v>
      </c>
      <c r="H10" s="3">
        <f>Pisteytys!D4</f>
        <v>2.25</v>
      </c>
    </row>
    <row r="11" spans="1:8" x14ac:dyDescent="0.25">
      <c r="C11">
        <v>2</v>
      </c>
      <c r="D11" t="s">
        <v>5</v>
      </c>
      <c r="F11">
        <v>31</v>
      </c>
      <c r="H11" s="3">
        <f>Pisteytys!D5</f>
        <v>0.25</v>
      </c>
    </row>
    <row r="12" spans="1:8" x14ac:dyDescent="0.25">
      <c r="C12">
        <v>3</v>
      </c>
      <c r="D12" t="s">
        <v>6</v>
      </c>
      <c r="F12">
        <v>28</v>
      </c>
      <c r="H12" s="3">
        <f>Pisteytys!D6</f>
        <v>-0.75</v>
      </c>
    </row>
    <row r="13" spans="1:8" x14ac:dyDescent="0.25">
      <c r="A13" s="2"/>
      <c r="C13">
        <v>4</v>
      </c>
      <c r="D13" t="s">
        <v>4</v>
      </c>
      <c r="F13">
        <v>25</v>
      </c>
      <c r="H13" s="3">
        <f>Pisteytys!D7</f>
        <v>-1.75</v>
      </c>
    </row>
    <row r="14" spans="1:8" x14ac:dyDescent="0.25">
      <c r="B14" s="4"/>
    </row>
    <row r="15" spans="1:8" x14ac:dyDescent="0.25">
      <c r="B15" s="4"/>
    </row>
    <row r="16" spans="1:8" x14ac:dyDescent="0.25">
      <c r="A16">
        <v>2</v>
      </c>
      <c r="B16" t="s">
        <v>94</v>
      </c>
      <c r="C16">
        <v>6</v>
      </c>
      <c r="D16" t="s">
        <v>95</v>
      </c>
      <c r="G16" t="s">
        <v>78</v>
      </c>
      <c r="H16" s="3">
        <f>SUM(H3:H13)</f>
        <v>0</v>
      </c>
    </row>
    <row r="18" spans="1:2" x14ac:dyDescent="0.25">
      <c r="A18" s="2"/>
    </row>
    <row r="19" spans="1:2" x14ac:dyDescent="0.25">
      <c r="B19" s="4"/>
    </row>
    <row r="20" spans="1:2" x14ac:dyDescent="0.25">
      <c r="B20" s="4"/>
    </row>
    <row r="21" spans="1:2" x14ac:dyDescent="0.25">
      <c r="B21" s="4"/>
    </row>
    <row r="23" spans="1:2" x14ac:dyDescent="0.25">
      <c r="A2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sheetData>
    <row r="1" spans="1:7" x14ac:dyDescent="0.25">
      <c r="B1" t="s">
        <v>16</v>
      </c>
    </row>
    <row r="2" spans="1:7" x14ac:dyDescent="0.25">
      <c r="B2">
        <v>2</v>
      </c>
      <c r="C2">
        <v>3</v>
      </c>
      <c r="D2">
        <v>4</v>
      </c>
      <c r="E2">
        <v>5</v>
      </c>
      <c r="F2">
        <v>6</v>
      </c>
      <c r="G2">
        <v>7</v>
      </c>
    </row>
    <row r="3" spans="1:7" x14ac:dyDescent="0.25">
      <c r="A3" t="s">
        <v>15</v>
      </c>
    </row>
    <row r="4" spans="1:7" x14ac:dyDescent="0.25">
      <c r="A4">
        <v>1</v>
      </c>
      <c r="B4" s="3">
        <f>2-2/2</f>
        <v>1</v>
      </c>
      <c r="C4" s="3">
        <f>3-4/3</f>
        <v>1.6666666666666667</v>
      </c>
      <c r="D4" s="3">
        <f>4-7/4</f>
        <v>2.25</v>
      </c>
      <c r="E4" s="3">
        <f>5-11/5</f>
        <v>2.8</v>
      </c>
      <c r="F4" s="3">
        <f>6-16/6</f>
        <v>3.3333333333333335</v>
      </c>
      <c r="G4" s="3">
        <f>7-22/7</f>
        <v>3.8571428571428572</v>
      </c>
    </row>
    <row r="5" spans="1:7" x14ac:dyDescent="0.25">
      <c r="A5">
        <v>2</v>
      </c>
      <c r="B5" s="3">
        <f>0-2/2</f>
        <v>-1</v>
      </c>
      <c r="C5" s="3">
        <f>1-4/3</f>
        <v>-0.33333333333333326</v>
      </c>
      <c r="D5" s="3">
        <f>2-7/4</f>
        <v>0.25</v>
      </c>
      <c r="E5" s="3">
        <f>3-11/5</f>
        <v>0.79999999999999982</v>
      </c>
      <c r="F5" s="3">
        <f>4-16/6</f>
        <v>1.3333333333333335</v>
      </c>
      <c r="G5" s="3">
        <f>5-22/7</f>
        <v>1.8571428571428572</v>
      </c>
    </row>
    <row r="6" spans="1:7" x14ac:dyDescent="0.25">
      <c r="A6">
        <v>3</v>
      </c>
      <c r="B6" s="3"/>
      <c r="C6" s="3">
        <f>0-4/3</f>
        <v>-1.3333333333333333</v>
      </c>
      <c r="D6" s="3">
        <f>1-7/4</f>
        <v>-0.75</v>
      </c>
      <c r="E6" s="3">
        <f>2-11/5</f>
        <v>-0.20000000000000018</v>
      </c>
      <c r="F6" s="3">
        <f>3-16/6</f>
        <v>0.33333333333333348</v>
      </c>
      <c r="G6" s="3">
        <f>4-22/7</f>
        <v>0.85714285714285721</v>
      </c>
    </row>
    <row r="7" spans="1:7" x14ac:dyDescent="0.25">
      <c r="A7">
        <v>4</v>
      </c>
      <c r="B7" s="3"/>
      <c r="C7" s="3"/>
      <c r="D7" s="3">
        <f>0-7/4</f>
        <v>-1.75</v>
      </c>
      <c r="E7" s="3">
        <f>1-11/5</f>
        <v>-1.2000000000000002</v>
      </c>
      <c r="F7" s="3">
        <f>2-16/6</f>
        <v>-0.66666666666666652</v>
      </c>
      <c r="G7" s="3">
        <f>3-22/7</f>
        <v>-0.14285714285714279</v>
      </c>
    </row>
    <row r="8" spans="1:7" x14ac:dyDescent="0.25">
      <c r="A8">
        <v>5</v>
      </c>
      <c r="B8" s="3"/>
      <c r="C8" s="3"/>
      <c r="D8" s="3"/>
      <c r="E8" s="3">
        <f>0-11/5</f>
        <v>-2.2000000000000002</v>
      </c>
      <c r="F8" s="3">
        <f>1-16/6</f>
        <v>-1.6666666666666665</v>
      </c>
      <c r="G8" s="3">
        <f>2-22/7</f>
        <v>-1.1428571428571428</v>
      </c>
    </row>
    <row r="9" spans="1:7" x14ac:dyDescent="0.25">
      <c r="A9">
        <v>6</v>
      </c>
      <c r="B9" s="3"/>
      <c r="C9" s="3"/>
      <c r="D9" s="3"/>
      <c r="E9" s="3"/>
      <c r="F9" s="3">
        <f>0-16/6</f>
        <v>-2.6666666666666665</v>
      </c>
      <c r="G9" s="3">
        <f>1-22/7</f>
        <v>-2.1428571428571428</v>
      </c>
    </row>
    <row r="10" spans="1:7" x14ac:dyDescent="0.25">
      <c r="A10">
        <v>7</v>
      </c>
      <c r="B10" s="3"/>
      <c r="C10" s="3"/>
      <c r="D10" s="3"/>
      <c r="E10" s="3"/>
      <c r="F10" s="3"/>
      <c r="G10" s="3">
        <f>0-22/7</f>
        <v>-3.1428571428571428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Turnaus</vt:lpstr>
      <vt:lpstr>Perjantai</vt:lpstr>
      <vt:lpstr>Lauantai</vt:lpstr>
      <vt:lpstr>Sunnuntai</vt:lpstr>
      <vt:lpstr>Pisteytys</vt:lpstr>
    </vt:vector>
  </TitlesOfParts>
  <Company>Bittium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Poikonen Jouni</dc:creator>
  <cp:lastModifiedBy>Poikonen Jouni</cp:lastModifiedBy>
  <dcterms:created xsi:type="dcterms:W3CDTF">2015-06-04T06:19:23Z</dcterms:created>
  <dcterms:modified xsi:type="dcterms:W3CDTF">2016-11-23T07:41:53Z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389031541</vt:i4>
  </property>
  <property fmtid="{D5CDD505-2E9C-101B-9397-08002B2CF9AE}" pid="3" name="_NewReviewCycle">
    <vt:lpwstr/>
  </property>
  <property fmtid="{D5CDD505-2E9C-101B-9397-08002B2CF9AE}" pid="4" name="_EmailSubject">
    <vt:lpwstr>Kempelit</vt:lpwstr>
  </property>
  <property fmtid="{D5CDD505-2E9C-101B-9397-08002B2CF9AE}" pid="5" name="_AuthorEmail">
    <vt:lpwstr>Jouni.Poikonen@bittium.com</vt:lpwstr>
  </property>
  <property fmtid="{D5CDD505-2E9C-101B-9397-08002B2CF9AE}" pid="6" name="_AuthorEmailDisplayName">
    <vt:lpwstr>Poikonen Jouni</vt:lpwstr>
  </property>
</Properties>
</file>